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 codeName="{4D1C537B-E38A-612A-F078-A93A15B4B7F4}"/>
  <workbookPr filterPrivacy="1" codeName="ThisWorkbook" defaultThemeVersion="124226"/>
  <xr:revisionPtr revIDLastSave="0" documentId="13_ncr:1_{7A88CBF7-BAF8-4C6E-AC42-881E94FE6C49}" xr6:coauthVersionLast="46" xr6:coauthVersionMax="46" xr10:uidLastSave="{00000000-0000-0000-0000-000000000000}"/>
  <workbookProtection workbookAlgorithmName="SHA-512" workbookHashValue="2XQljlRJYTb81CmGApb3fUKe2yDj6cS09A8BS7Bbct20r45emDTxmQ6NdAjbBfj/gF9i6EbJh1I5wHhgLlTzqA==" workbookSaltValue="MhFFd/rHc3f38fOZUY5qVQ==" workbookSpinCount="100000" lockStructure="1"/>
  <bookViews>
    <workbookView xWindow="-120" yWindow="-120" windowWidth="38640" windowHeight="15840" xr2:uid="{00000000-000D-0000-FFFF-FFFF00000000}"/>
  </bookViews>
  <sheets>
    <sheet name="Algemeen" sheetId="12" r:id="rId1"/>
    <sheet name="Externe blootstelling" sheetId="1" r:id="rId2"/>
    <sheet name="Besmetting &amp; ingestie" sheetId="3" r:id="rId3"/>
    <sheet name="Scenario" sheetId="11" r:id="rId4"/>
    <sheet name="Inputparameters" sheetId="2" r:id="rId5"/>
    <sheet name="F_tli" sheetId="9" r:id="rId6"/>
    <sheet name="Mass attenuation coefficients" sheetId="6" state="hidden" r:id="rId7"/>
    <sheet name="Shultis Faw" sheetId="7" state="hidden" r:id="rId8"/>
    <sheet name="hp (pSv cm2)" sheetId="8" state="hidden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7" i="1" l="1"/>
  <c r="G16" i="1"/>
  <c r="G11" i="1"/>
  <c r="G12" i="1"/>
  <c r="G4" i="1"/>
  <c r="G5" i="1"/>
  <c r="C44" i="3"/>
  <c r="C42" i="3"/>
  <c r="C40" i="3"/>
  <c r="AE25" i="1" l="1"/>
  <c r="AD25" i="1"/>
  <c r="AC25" i="1"/>
  <c r="AB25" i="1"/>
  <c r="AB6" i="1"/>
  <c r="AC6" i="1"/>
  <c r="AD6" i="1"/>
  <c r="AE6" i="1"/>
  <c r="AC7" i="1"/>
  <c r="AD7" i="1"/>
  <c r="AE7" i="1"/>
  <c r="AC8" i="1"/>
  <c r="AD8" i="1"/>
  <c r="AE8" i="1"/>
  <c r="AC9" i="1"/>
  <c r="AD9" i="1"/>
  <c r="AE9" i="1"/>
  <c r="AC10" i="1"/>
  <c r="AD10" i="1"/>
  <c r="AE10" i="1"/>
  <c r="AC11" i="1"/>
  <c r="AD11" i="1"/>
  <c r="AE11" i="1"/>
  <c r="AB12" i="1"/>
  <c r="AE12" i="1"/>
  <c r="AB13" i="1"/>
  <c r="AE13" i="1"/>
  <c r="AE14" i="1"/>
  <c r="AB15" i="1"/>
  <c r="AC15" i="1"/>
  <c r="AD15" i="1"/>
  <c r="AE15" i="1"/>
  <c r="AB17" i="1"/>
  <c r="AC17" i="1"/>
  <c r="AD17" i="1"/>
  <c r="AE17" i="1"/>
  <c r="AB19" i="1"/>
  <c r="AC19" i="1"/>
  <c r="AD19" i="1"/>
  <c r="AE19" i="1"/>
  <c r="AB20" i="1"/>
  <c r="AB21" i="1"/>
  <c r="AB22" i="1"/>
  <c r="AB24" i="1"/>
  <c r="AD5" i="1"/>
  <c r="AD4" i="1"/>
  <c r="AC5" i="1"/>
  <c r="AC4" i="1"/>
  <c r="AB5" i="1"/>
  <c r="AB4" i="1"/>
  <c r="W25" i="1"/>
  <c r="V25" i="1"/>
  <c r="U25" i="1"/>
  <c r="U6" i="1"/>
  <c r="V6" i="1"/>
  <c r="W6" i="1"/>
  <c r="U7" i="1"/>
  <c r="V7" i="1"/>
  <c r="W7" i="1"/>
  <c r="U8" i="1"/>
  <c r="V8" i="1"/>
  <c r="W8" i="1"/>
  <c r="U9" i="1"/>
  <c r="V9" i="1"/>
  <c r="W9" i="1"/>
  <c r="U10" i="1"/>
  <c r="V10" i="1"/>
  <c r="W10" i="1"/>
  <c r="U11" i="1"/>
  <c r="V11" i="1"/>
  <c r="W11" i="1"/>
  <c r="W12" i="1"/>
  <c r="W13" i="1"/>
  <c r="W14" i="1"/>
  <c r="U15" i="1"/>
  <c r="V15" i="1"/>
  <c r="W15" i="1"/>
  <c r="U17" i="1"/>
  <c r="V17" i="1"/>
  <c r="W17" i="1"/>
  <c r="U19" i="1"/>
  <c r="V19" i="1"/>
  <c r="W19" i="1"/>
  <c r="V5" i="1"/>
  <c r="V4" i="1"/>
  <c r="U5" i="1"/>
  <c r="U4" i="1"/>
  <c r="T25" i="1"/>
  <c r="T24" i="1"/>
  <c r="T22" i="1"/>
  <c r="T21" i="1"/>
  <c r="T20" i="1"/>
  <c r="T19" i="1"/>
  <c r="T17" i="1"/>
  <c r="T15" i="1"/>
  <c r="T13" i="1"/>
  <c r="T12" i="1"/>
  <c r="T6" i="1"/>
  <c r="T5" i="1"/>
  <c r="T4" i="1"/>
  <c r="D39" i="1"/>
  <c r="D32" i="1"/>
  <c r="I17" i="1" l="1"/>
  <c r="I16" i="1"/>
  <c r="I12" i="1"/>
  <c r="I11" i="1"/>
  <c r="I10" i="3"/>
  <c r="I9" i="3"/>
  <c r="D18" i="3"/>
  <c r="D20" i="1" l="1"/>
  <c r="D23" i="1"/>
  <c r="I4" i="1" l="1"/>
  <c r="I5" i="1"/>
  <c r="L5" i="3"/>
  <c r="L4" i="3"/>
  <c r="G10" i="3"/>
  <c r="G9" i="3"/>
  <c r="G15" i="3"/>
  <c r="G14" i="3"/>
  <c r="G5" i="3"/>
  <c r="G4" i="3"/>
  <c r="D19" i="3"/>
  <c r="AB29" i="1"/>
  <c r="AB28" i="1"/>
  <c r="AC29" i="1"/>
  <c r="AC28" i="1"/>
  <c r="AD29" i="1"/>
  <c r="AD28" i="1"/>
  <c r="AE29" i="1"/>
  <c r="AE28" i="1"/>
  <c r="W28" i="1"/>
  <c r="V28" i="1"/>
  <c r="U28" i="1"/>
  <c r="W29" i="1"/>
  <c r="V29" i="1"/>
  <c r="U29" i="1"/>
  <c r="T29" i="1"/>
  <c r="T28" i="1" l="1"/>
  <c r="F430" i="9" l="1"/>
  <c r="G430" i="9" s="1"/>
  <c r="H430" i="9"/>
  <c r="I430" i="9"/>
  <c r="J430" i="9"/>
  <c r="K430" i="9"/>
  <c r="M430" i="9"/>
  <c r="L430" i="9"/>
  <c r="F431" i="9"/>
  <c r="G431" i="9" s="1"/>
  <c r="H431" i="9"/>
  <c r="I431" i="9"/>
  <c r="J431" i="9"/>
  <c r="K431" i="9"/>
  <c r="M431" i="9"/>
  <c r="L431" i="9"/>
  <c r="F432" i="9"/>
  <c r="G432" i="9" s="1"/>
  <c r="H432" i="9"/>
  <c r="I432" i="9"/>
  <c r="J432" i="9"/>
  <c r="K432" i="9"/>
  <c r="M432" i="9"/>
  <c r="L432" i="9"/>
  <c r="F433" i="9"/>
  <c r="G433" i="9" s="1"/>
  <c r="H433" i="9"/>
  <c r="I433" i="9"/>
  <c r="J433" i="9"/>
  <c r="K433" i="9"/>
  <c r="M433" i="9"/>
  <c r="L433" i="9"/>
  <c r="F434" i="9"/>
  <c r="G434" i="9" s="1"/>
  <c r="H434" i="9"/>
  <c r="I434" i="9"/>
  <c r="J434" i="9"/>
  <c r="K434" i="9"/>
  <c r="M434" i="9"/>
  <c r="L434" i="9"/>
  <c r="F435" i="9"/>
  <c r="G435" i="9" s="1"/>
  <c r="H435" i="9"/>
  <c r="I435" i="9"/>
  <c r="J435" i="9"/>
  <c r="K435" i="9"/>
  <c r="M435" i="9"/>
  <c r="L435" i="9"/>
  <c r="F436" i="9"/>
  <c r="G436" i="9" s="1"/>
  <c r="H436" i="9"/>
  <c r="I436" i="9"/>
  <c r="J436" i="9"/>
  <c r="K436" i="9"/>
  <c r="M436" i="9"/>
  <c r="L436" i="9"/>
  <c r="F437" i="9"/>
  <c r="G437" i="9" s="1"/>
  <c r="H437" i="9"/>
  <c r="I437" i="9"/>
  <c r="J437" i="9"/>
  <c r="K437" i="9"/>
  <c r="M437" i="9"/>
  <c r="L437" i="9"/>
  <c r="F438" i="9"/>
  <c r="G438" i="9" s="1"/>
  <c r="H438" i="9"/>
  <c r="I438" i="9"/>
  <c r="J438" i="9"/>
  <c r="K438" i="9"/>
  <c r="M438" i="9"/>
  <c r="L438" i="9"/>
  <c r="F439" i="9"/>
  <c r="G439" i="9" s="1"/>
  <c r="H439" i="9"/>
  <c r="I439" i="9"/>
  <c r="J439" i="9"/>
  <c r="K439" i="9"/>
  <c r="M439" i="9"/>
  <c r="L439" i="9"/>
  <c r="F440" i="9"/>
  <c r="G440" i="9" s="1"/>
  <c r="H440" i="9"/>
  <c r="I440" i="9"/>
  <c r="J440" i="9"/>
  <c r="K440" i="9"/>
  <c r="M440" i="9"/>
  <c r="L440" i="9"/>
  <c r="F441" i="9"/>
  <c r="G441" i="9" s="1"/>
  <c r="H441" i="9"/>
  <c r="I441" i="9"/>
  <c r="J441" i="9"/>
  <c r="K441" i="9"/>
  <c r="M441" i="9"/>
  <c r="L441" i="9"/>
  <c r="F442" i="9"/>
  <c r="G442" i="9" s="1"/>
  <c r="H442" i="9"/>
  <c r="I442" i="9"/>
  <c r="J442" i="9"/>
  <c r="K442" i="9"/>
  <c r="M442" i="9"/>
  <c r="L442" i="9"/>
  <c r="F443" i="9"/>
  <c r="G443" i="9" s="1"/>
  <c r="H443" i="9"/>
  <c r="I443" i="9"/>
  <c r="J443" i="9"/>
  <c r="K443" i="9"/>
  <c r="M443" i="9"/>
  <c r="L443" i="9"/>
  <c r="F444" i="9"/>
  <c r="G444" i="9" s="1"/>
  <c r="H444" i="9"/>
  <c r="I444" i="9"/>
  <c r="J444" i="9"/>
  <c r="K444" i="9"/>
  <c r="M444" i="9"/>
  <c r="L444" i="9"/>
  <c r="F445" i="9"/>
  <c r="G445" i="9" s="1"/>
  <c r="H445" i="9"/>
  <c r="I445" i="9"/>
  <c r="J445" i="9"/>
  <c r="K445" i="9"/>
  <c r="M445" i="9"/>
  <c r="L445" i="9"/>
  <c r="F446" i="9"/>
  <c r="G446" i="9" s="1"/>
  <c r="H446" i="9"/>
  <c r="I446" i="9"/>
  <c r="J446" i="9"/>
  <c r="K446" i="9"/>
  <c r="M446" i="9"/>
  <c r="L446" i="9"/>
  <c r="F447" i="9"/>
  <c r="G447" i="9" s="1"/>
  <c r="H447" i="9"/>
  <c r="I447" i="9"/>
  <c r="J447" i="9"/>
  <c r="K447" i="9"/>
  <c r="M447" i="9"/>
  <c r="L447" i="9"/>
  <c r="F448" i="9"/>
  <c r="G448" i="9" s="1"/>
  <c r="H448" i="9"/>
  <c r="I448" i="9"/>
  <c r="J448" i="9"/>
  <c r="K448" i="9"/>
  <c r="M448" i="9"/>
  <c r="L448" i="9"/>
  <c r="F449" i="9"/>
  <c r="G449" i="9" s="1"/>
  <c r="H449" i="9"/>
  <c r="I449" i="9"/>
  <c r="J449" i="9"/>
  <c r="K449" i="9"/>
  <c r="M449" i="9"/>
  <c r="L449" i="9"/>
  <c r="F450" i="9"/>
  <c r="G450" i="9" s="1"/>
  <c r="H450" i="9"/>
  <c r="I450" i="9"/>
  <c r="J450" i="9"/>
  <c r="K450" i="9"/>
  <c r="M450" i="9"/>
  <c r="L450" i="9"/>
  <c r="F451" i="9"/>
  <c r="G451" i="9" s="1"/>
  <c r="H451" i="9"/>
  <c r="I451" i="9"/>
  <c r="J451" i="9"/>
  <c r="K451" i="9"/>
  <c r="M451" i="9"/>
  <c r="L451" i="9"/>
  <c r="F452" i="9"/>
  <c r="G452" i="9" s="1"/>
  <c r="H452" i="9"/>
  <c r="I452" i="9"/>
  <c r="J452" i="9"/>
  <c r="K452" i="9"/>
  <c r="M452" i="9"/>
  <c r="L452" i="9"/>
  <c r="F453" i="9"/>
  <c r="G453" i="9" s="1"/>
  <c r="H453" i="9"/>
  <c r="I453" i="9"/>
  <c r="J453" i="9"/>
  <c r="K453" i="9"/>
  <c r="M453" i="9"/>
  <c r="L453" i="9"/>
  <c r="F454" i="9"/>
  <c r="G454" i="9" s="1"/>
  <c r="H454" i="9"/>
  <c r="I454" i="9"/>
  <c r="J454" i="9"/>
  <c r="K454" i="9"/>
  <c r="M454" i="9"/>
  <c r="L454" i="9"/>
  <c r="F455" i="9"/>
  <c r="G455" i="9" s="1"/>
  <c r="H455" i="9"/>
  <c r="I455" i="9"/>
  <c r="J455" i="9"/>
  <c r="K455" i="9"/>
  <c r="M455" i="9"/>
  <c r="L455" i="9"/>
  <c r="F456" i="9"/>
  <c r="G456" i="9" s="1"/>
  <c r="H456" i="9"/>
  <c r="I456" i="9"/>
  <c r="J456" i="9"/>
  <c r="K456" i="9"/>
  <c r="M456" i="9"/>
  <c r="L456" i="9"/>
  <c r="F457" i="9"/>
  <c r="G457" i="9" s="1"/>
  <c r="H457" i="9"/>
  <c r="I457" i="9"/>
  <c r="J457" i="9"/>
  <c r="K457" i="9"/>
  <c r="M457" i="9"/>
  <c r="L457" i="9"/>
  <c r="F458" i="9"/>
  <c r="G458" i="9" s="1"/>
  <c r="H458" i="9"/>
  <c r="I458" i="9"/>
  <c r="J458" i="9"/>
  <c r="K458" i="9"/>
  <c r="M458" i="9"/>
  <c r="L458" i="9"/>
  <c r="F459" i="9"/>
  <c r="G459" i="9" s="1"/>
  <c r="H459" i="9"/>
  <c r="I459" i="9"/>
  <c r="J459" i="9"/>
  <c r="K459" i="9"/>
  <c r="M459" i="9"/>
  <c r="L459" i="9"/>
  <c r="F460" i="9"/>
  <c r="G460" i="9" s="1"/>
  <c r="H460" i="9"/>
  <c r="I460" i="9"/>
  <c r="J460" i="9"/>
  <c r="K460" i="9"/>
  <c r="M460" i="9"/>
  <c r="L460" i="9"/>
  <c r="F461" i="9"/>
  <c r="G461" i="9" s="1"/>
  <c r="H461" i="9"/>
  <c r="I461" i="9"/>
  <c r="J461" i="9"/>
  <c r="K461" i="9"/>
  <c r="M461" i="9"/>
  <c r="L461" i="9"/>
  <c r="F462" i="9"/>
  <c r="G462" i="9" s="1"/>
  <c r="H462" i="9"/>
  <c r="I462" i="9"/>
  <c r="J462" i="9"/>
  <c r="K462" i="9"/>
  <c r="M462" i="9"/>
  <c r="L462" i="9"/>
  <c r="F463" i="9"/>
  <c r="G463" i="9" s="1"/>
  <c r="H463" i="9"/>
  <c r="I463" i="9"/>
  <c r="J463" i="9"/>
  <c r="K463" i="9"/>
  <c r="M463" i="9"/>
  <c r="L463" i="9"/>
  <c r="F464" i="9"/>
  <c r="G464" i="9" s="1"/>
  <c r="H464" i="9"/>
  <c r="I464" i="9"/>
  <c r="J464" i="9"/>
  <c r="K464" i="9"/>
  <c r="M464" i="9"/>
  <c r="L464" i="9"/>
  <c r="F465" i="9"/>
  <c r="G465" i="9" s="1"/>
  <c r="H465" i="9"/>
  <c r="I465" i="9"/>
  <c r="J465" i="9"/>
  <c r="K465" i="9"/>
  <c r="M465" i="9"/>
  <c r="L465" i="9"/>
  <c r="F466" i="9"/>
  <c r="G466" i="9" s="1"/>
  <c r="H466" i="9"/>
  <c r="I466" i="9"/>
  <c r="J466" i="9"/>
  <c r="K466" i="9"/>
  <c r="M466" i="9"/>
  <c r="L466" i="9"/>
  <c r="F467" i="9"/>
  <c r="G467" i="9" s="1"/>
  <c r="H467" i="9"/>
  <c r="I467" i="9"/>
  <c r="J467" i="9"/>
  <c r="K467" i="9"/>
  <c r="M467" i="9"/>
  <c r="L467" i="9"/>
  <c r="F468" i="9"/>
  <c r="G468" i="9" s="1"/>
  <c r="H468" i="9"/>
  <c r="I468" i="9"/>
  <c r="J468" i="9"/>
  <c r="K468" i="9"/>
  <c r="M468" i="9"/>
  <c r="L468" i="9"/>
  <c r="F469" i="9"/>
  <c r="G469" i="9" s="1"/>
  <c r="H469" i="9"/>
  <c r="I469" i="9"/>
  <c r="J469" i="9"/>
  <c r="K469" i="9"/>
  <c r="M469" i="9"/>
  <c r="L469" i="9"/>
  <c r="F470" i="9"/>
  <c r="G470" i="9" s="1"/>
  <c r="H470" i="9"/>
  <c r="I470" i="9"/>
  <c r="J470" i="9"/>
  <c r="K470" i="9"/>
  <c r="M470" i="9"/>
  <c r="L470" i="9"/>
  <c r="F471" i="9"/>
  <c r="G471" i="9" s="1"/>
  <c r="H471" i="9"/>
  <c r="I471" i="9"/>
  <c r="J471" i="9"/>
  <c r="K471" i="9"/>
  <c r="M471" i="9"/>
  <c r="L471" i="9"/>
  <c r="F472" i="9"/>
  <c r="G472" i="9" s="1"/>
  <c r="H472" i="9"/>
  <c r="I472" i="9"/>
  <c r="J472" i="9"/>
  <c r="K472" i="9"/>
  <c r="M472" i="9"/>
  <c r="L472" i="9"/>
  <c r="F473" i="9"/>
  <c r="G473" i="9" s="1"/>
  <c r="H473" i="9"/>
  <c r="I473" i="9"/>
  <c r="J473" i="9"/>
  <c r="K473" i="9"/>
  <c r="M473" i="9"/>
  <c r="L473" i="9"/>
  <c r="F474" i="9"/>
  <c r="G474" i="9" s="1"/>
  <c r="H474" i="9"/>
  <c r="I474" i="9"/>
  <c r="J474" i="9"/>
  <c r="K474" i="9"/>
  <c r="M474" i="9"/>
  <c r="L474" i="9"/>
  <c r="F475" i="9"/>
  <c r="G475" i="9" s="1"/>
  <c r="H475" i="9"/>
  <c r="I475" i="9"/>
  <c r="J475" i="9"/>
  <c r="K475" i="9"/>
  <c r="M475" i="9"/>
  <c r="L475" i="9"/>
  <c r="F476" i="9"/>
  <c r="G476" i="9" s="1"/>
  <c r="H476" i="9"/>
  <c r="I476" i="9"/>
  <c r="J476" i="9"/>
  <c r="K476" i="9"/>
  <c r="M476" i="9"/>
  <c r="L476" i="9"/>
  <c r="R5" i="1"/>
  <c r="S5" i="1"/>
  <c r="R6" i="1"/>
  <c r="S6" i="1"/>
  <c r="R7" i="1"/>
  <c r="S7" i="1"/>
  <c r="R8" i="1"/>
  <c r="S8" i="1"/>
  <c r="R9" i="1"/>
  <c r="S9" i="1"/>
  <c r="R10" i="1"/>
  <c r="S10" i="1"/>
  <c r="R11" i="1"/>
  <c r="S11" i="1"/>
  <c r="R12" i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S4" i="1"/>
  <c r="R4" i="1"/>
  <c r="Z5" i="1"/>
  <c r="AA5" i="1"/>
  <c r="Z6" i="1"/>
  <c r="AA6" i="1"/>
  <c r="Z7" i="1"/>
  <c r="AA7" i="1"/>
  <c r="Z8" i="1"/>
  <c r="AA8" i="1"/>
  <c r="Z9" i="1"/>
  <c r="AA9" i="1"/>
  <c r="Z10" i="1"/>
  <c r="AA10" i="1"/>
  <c r="Z11" i="1"/>
  <c r="AA11" i="1"/>
  <c r="Z12" i="1"/>
  <c r="AA12" i="1"/>
  <c r="Z13" i="1"/>
  <c r="AA13" i="1"/>
  <c r="Z14" i="1"/>
  <c r="AA14" i="1"/>
  <c r="Z15" i="1"/>
  <c r="AA15" i="1"/>
  <c r="Z16" i="1"/>
  <c r="AA16" i="1"/>
  <c r="Z17" i="1"/>
  <c r="AA17" i="1"/>
  <c r="Z18" i="1"/>
  <c r="AA18" i="1"/>
  <c r="Z19" i="1"/>
  <c r="AA19" i="1"/>
  <c r="Z20" i="1"/>
  <c r="AA20" i="1"/>
  <c r="Z21" i="1"/>
  <c r="AA21" i="1"/>
  <c r="Z22" i="1"/>
  <c r="AA22" i="1"/>
  <c r="Z23" i="1"/>
  <c r="AA23" i="1"/>
  <c r="Z24" i="1"/>
  <c r="AA24" i="1"/>
  <c r="Z25" i="1"/>
  <c r="AA25" i="1"/>
  <c r="AA4" i="1"/>
  <c r="Z4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  <c r="Y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4" i="1"/>
  <c r="F730" i="9"/>
  <c r="G730" i="9" s="1"/>
  <c r="H730" i="9"/>
  <c r="I730" i="9"/>
  <c r="J730" i="9"/>
  <c r="K730" i="9"/>
  <c r="M730" i="9"/>
  <c r="L730" i="9"/>
  <c r="F731" i="9"/>
  <c r="G731" i="9" s="1"/>
  <c r="H731" i="9"/>
  <c r="I731" i="9"/>
  <c r="J731" i="9"/>
  <c r="K731" i="9"/>
  <c r="M731" i="9"/>
  <c r="L731" i="9"/>
  <c r="F732" i="9"/>
  <c r="G732" i="9" s="1"/>
  <c r="H732" i="9"/>
  <c r="I732" i="9"/>
  <c r="J732" i="9"/>
  <c r="K732" i="9"/>
  <c r="M732" i="9"/>
  <c r="L732" i="9"/>
  <c r="F733" i="9"/>
  <c r="G733" i="9" s="1"/>
  <c r="H733" i="9"/>
  <c r="I733" i="9"/>
  <c r="J733" i="9"/>
  <c r="K733" i="9"/>
  <c r="M733" i="9"/>
  <c r="L733" i="9"/>
  <c r="F734" i="9"/>
  <c r="G734" i="9" s="1"/>
  <c r="H734" i="9"/>
  <c r="I734" i="9"/>
  <c r="J734" i="9"/>
  <c r="K734" i="9"/>
  <c r="M734" i="9"/>
  <c r="L734" i="9"/>
  <c r="F735" i="9"/>
  <c r="G735" i="9" s="1"/>
  <c r="H735" i="9"/>
  <c r="I735" i="9"/>
  <c r="J735" i="9"/>
  <c r="K735" i="9"/>
  <c r="M735" i="9"/>
  <c r="L735" i="9"/>
  <c r="F736" i="9"/>
  <c r="G736" i="9" s="1"/>
  <c r="H736" i="9"/>
  <c r="I736" i="9"/>
  <c r="J736" i="9"/>
  <c r="K736" i="9"/>
  <c r="M736" i="9"/>
  <c r="L736" i="9"/>
  <c r="F737" i="9"/>
  <c r="G737" i="9" s="1"/>
  <c r="H737" i="9"/>
  <c r="I737" i="9"/>
  <c r="J737" i="9"/>
  <c r="K737" i="9"/>
  <c r="M737" i="9"/>
  <c r="L737" i="9"/>
  <c r="F738" i="9"/>
  <c r="G738" i="9" s="1"/>
  <c r="H738" i="9"/>
  <c r="I738" i="9"/>
  <c r="J738" i="9"/>
  <c r="K738" i="9"/>
  <c r="M738" i="9"/>
  <c r="L738" i="9"/>
  <c r="F739" i="9"/>
  <c r="G739" i="9" s="1"/>
  <c r="H739" i="9"/>
  <c r="I739" i="9"/>
  <c r="J739" i="9"/>
  <c r="K739" i="9"/>
  <c r="M739" i="9"/>
  <c r="L739" i="9"/>
  <c r="F740" i="9"/>
  <c r="G740" i="9" s="1"/>
  <c r="H740" i="9"/>
  <c r="I740" i="9"/>
  <c r="J740" i="9"/>
  <c r="K740" i="9"/>
  <c r="M740" i="9"/>
  <c r="L740" i="9"/>
  <c r="F741" i="9"/>
  <c r="G741" i="9" s="1"/>
  <c r="H741" i="9"/>
  <c r="I741" i="9"/>
  <c r="J741" i="9"/>
  <c r="K741" i="9"/>
  <c r="M741" i="9"/>
  <c r="L741" i="9"/>
  <c r="F742" i="9"/>
  <c r="G742" i="9" s="1"/>
  <c r="H742" i="9"/>
  <c r="I742" i="9"/>
  <c r="J742" i="9"/>
  <c r="K742" i="9"/>
  <c r="M742" i="9"/>
  <c r="L742" i="9"/>
  <c r="F743" i="9"/>
  <c r="G743" i="9" s="1"/>
  <c r="H743" i="9"/>
  <c r="I743" i="9"/>
  <c r="J743" i="9"/>
  <c r="K743" i="9"/>
  <c r="M743" i="9"/>
  <c r="L743" i="9"/>
  <c r="F744" i="9"/>
  <c r="G744" i="9" s="1"/>
  <c r="H744" i="9"/>
  <c r="I744" i="9"/>
  <c r="J744" i="9"/>
  <c r="K744" i="9"/>
  <c r="M744" i="9"/>
  <c r="L744" i="9"/>
  <c r="F745" i="9"/>
  <c r="G745" i="9" s="1"/>
  <c r="H745" i="9"/>
  <c r="I745" i="9"/>
  <c r="J745" i="9"/>
  <c r="K745" i="9"/>
  <c r="M745" i="9"/>
  <c r="L745" i="9"/>
  <c r="F746" i="9"/>
  <c r="G746" i="9" s="1"/>
  <c r="H746" i="9"/>
  <c r="I746" i="9"/>
  <c r="J746" i="9"/>
  <c r="K746" i="9"/>
  <c r="M746" i="9"/>
  <c r="L746" i="9"/>
  <c r="F747" i="9"/>
  <c r="G747" i="9" s="1"/>
  <c r="H747" i="9"/>
  <c r="I747" i="9"/>
  <c r="J747" i="9"/>
  <c r="K747" i="9"/>
  <c r="M747" i="9"/>
  <c r="L747" i="9"/>
  <c r="F748" i="9"/>
  <c r="G748" i="9" s="1"/>
  <c r="H748" i="9"/>
  <c r="I748" i="9"/>
  <c r="J748" i="9"/>
  <c r="K748" i="9"/>
  <c r="M748" i="9"/>
  <c r="L748" i="9"/>
  <c r="F749" i="9"/>
  <c r="G749" i="9" s="1"/>
  <c r="H749" i="9"/>
  <c r="I749" i="9"/>
  <c r="J749" i="9"/>
  <c r="K749" i="9"/>
  <c r="M749" i="9"/>
  <c r="L749" i="9"/>
  <c r="F750" i="9"/>
  <c r="G750" i="9" s="1"/>
  <c r="H750" i="9"/>
  <c r="I750" i="9"/>
  <c r="J750" i="9"/>
  <c r="K750" i="9"/>
  <c r="M750" i="9"/>
  <c r="L750" i="9"/>
  <c r="F751" i="9"/>
  <c r="G751" i="9" s="1"/>
  <c r="H751" i="9"/>
  <c r="I751" i="9"/>
  <c r="J751" i="9"/>
  <c r="K751" i="9"/>
  <c r="M751" i="9"/>
  <c r="L751" i="9"/>
  <c r="F752" i="9"/>
  <c r="G752" i="9" s="1"/>
  <c r="H752" i="9"/>
  <c r="I752" i="9"/>
  <c r="J752" i="9"/>
  <c r="K752" i="9"/>
  <c r="M752" i="9"/>
  <c r="L752" i="9"/>
  <c r="F753" i="9"/>
  <c r="G753" i="9" s="1"/>
  <c r="H753" i="9"/>
  <c r="I753" i="9"/>
  <c r="J753" i="9"/>
  <c r="K753" i="9"/>
  <c r="M753" i="9"/>
  <c r="L753" i="9"/>
  <c r="F754" i="9"/>
  <c r="G754" i="9" s="1"/>
  <c r="H754" i="9"/>
  <c r="I754" i="9"/>
  <c r="J754" i="9"/>
  <c r="K754" i="9"/>
  <c r="M754" i="9"/>
  <c r="L754" i="9"/>
  <c r="F755" i="9"/>
  <c r="G755" i="9" s="1"/>
  <c r="H755" i="9"/>
  <c r="I755" i="9"/>
  <c r="J755" i="9"/>
  <c r="K755" i="9"/>
  <c r="M755" i="9"/>
  <c r="L755" i="9"/>
  <c r="F756" i="9"/>
  <c r="G756" i="9" s="1"/>
  <c r="H756" i="9"/>
  <c r="I756" i="9"/>
  <c r="J756" i="9"/>
  <c r="K756" i="9"/>
  <c r="M756" i="9"/>
  <c r="L756" i="9"/>
  <c r="F757" i="9"/>
  <c r="G757" i="9" s="1"/>
  <c r="H757" i="9"/>
  <c r="I757" i="9"/>
  <c r="J757" i="9"/>
  <c r="K757" i="9"/>
  <c r="M757" i="9"/>
  <c r="L757" i="9"/>
  <c r="F758" i="9"/>
  <c r="G758" i="9" s="1"/>
  <c r="H758" i="9"/>
  <c r="I758" i="9"/>
  <c r="J758" i="9"/>
  <c r="K758" i="9"/>
  <c r="M758" i="9"/>
  <c r="L758" i="9"/>
  <c r="F759" i="9"/>
  <c r="G759" i="9" s="1"/>
  <c r="H759" i="9"/>
  <c r="I759" i="9"/>
  <c r="J759" i="9"/>
  <c r="K759" i="9"/>
  <c r="M759" i="9"/>
  <c r="L759" i="9"/>
  <c r="F760" i="9"/>
  <c r="G760" i="9" s="1"/>
  <c r="H760" i="9"/>
  <c r="I760" i="9"/>
  <c r="J760" i="9"/>
  <c r="K760" i="9"/>
  <c r="M760" i="9"/>
  <c r="L760" i="9"/>
  <c r="F761" i="9"/>
  <c r="G761" i="9" s="1"/>
  <c r="H761" i="9"/>
  <c r="I761" i="9"/>
  <c r="J761" i="9"/>
  <c r="K761" i="9"/>
  <c r="M761" i="9"/>
  <c r="L761" i="9"/>
  <c r="F762" i="9"/>
  <c r="G762" i="9" s="1"/>
  <c r="H762" i="9"/>
  <c r="I762" i="9"/>
  <c r="J762" i="9"/>
  <c r="K762" i="9"/>
  <c r="M762" i="9"/>
  <c r="L762" i="9"/>
  <c r="F763" i="9"/>
  <c r="G763" i="9" s="1"/>
  <c r="H763" i="9"/>
  <c r="I763" i="9"/>
  <c r="J763" i="9"/>
  <c r="K763" i="9"/>
  <c r="M763" i="9"/>
  <c r="L763" i="9"/>
  <c r="F764" i="9"/>
  <c r="G764" i="9" s="1"/>
  <c r="H764" i="9"/>
  <c r="I764" i="9"/>
  <c r="J764" i="9"/>
  <c r="K764" i="9"/>
  <c r="M764" i="9"/>
  <c r="L764" i="9"/>
  <c r="F765" i="9"/>
  <c r="G765" i="9" s="1"/>
  <c r="H765" i="9"/>
  <c r="I765" i="9"/>
  <c r="J765" i="9"/>
  <c r="K765" i="9"/>
  <c r="M765" i="9"/>
  <c r="L765" i="9"/>
  <c r="F766" i="9"/>
  <c r="G766" i="9" s="1"/>
  <c r="H766" i="9"/>
  <c r="I766" i="9"/>
  <c r="J766" i="9"/>
  <c r="K766" i="9"/>
  <c r="M766" i="9"/>
  <c r="L766" i="9"/>
  <c r="F767" i="9"/>
  <c r="G767" i="9" s="1"/>
  <c r="H767" i="9"/>
  <c r="I767" i="9"/>
  <c r="J767" i="9"/>
  <c r="K767" i="9"/>
  <c r="M767" i="9"/>
  <c r="L767" i="9"/>
  <c r="F768" i="9"/>
  <c r="G768" i="9" s="1"/>
  <c r="H768" i="9"/>
  <c r="I768" i="9"/>
  <c r="J768" i="9"/>
  <c r="K768" i="9"/>
  <c r="M768" i="9"/>
  <c r="L768" i="9"/>
  <c r="F769" i="9"/>
  <c r="G769" i="9" s="1"/>
  <c r="H769" i="9"/>
  <c r="I769" i="9"/>
  <c r="J769" i="9"/>
  <c r="K769" i="9"/>
  <c r="M769" i="9"/>
  <c r="L769" i="9"/>
  <c r="F770" i="9"/>
  <c r="G770" i="9" s="1"/>
  <c r="H770" i="9"/>
  <c r="I770" i="9"/>
  <c r="J770" i="9"/>
  <c r="K770" i="9"/>
  <c r="M770" i="9"/>
  <c r="L770" i="9"/>
  <c r="F771" i="9"/>
  <c r="G771" i="9" s="1"/>
  <c r="H771" i="9"/>
  <c r="I771" i="9"/>
  <c r="J771" i="9"/>
  <c r="K771" i="9"/>
  <c r="M771" i="9"/>
  <c r="L771" i="9"/>
  <c r="F772" i="9"/>
  <c r="G772" i="9" s="1"/>
  <c r="H772" i="9"/>
  <c r="I772" i="9"/>
  <c r="J772" i="9"/>
  <c r="K772" i="9"/>
  <c r="M772" i="9"/>
  <c r="L772" i="9"/>
  <c r="F773" i="9"/>
  <c r="G773" i="9" s="1"/>
  <c r="H773" i="9"/>
  <c r="I773" i="9"/>
  <c r="J773" i="9"/>
  <c r="K773" i="9"/>
  <c r="M773" i="9"/>
  <c r="L773" i="9"/>
  <c r="F774" i="9"/>
  <c r="G774" i="9" s="1"/>
  <c r="H774" i="9"/>
  <c r="I774" i="9"/>
  <c r="J774" i="9"/>
  <c r="K774" i="9"/>
  <c r="M774" i="9"/>
  <c r="L774" i="9"/>
  <c r="F775" i="9"/>
  <c r="G775" i="9" s="1"/>
  <c r="H775" i="9"/>
  <c r="I775" i="9"/>
  <c r="J775" i="9"/>
  <c r="K775" i="9"/>
  <c r="M775" i="9"/>
  <c r="L775" i="9"/>
  <c r="F776" i="9"/>
  <c r="G776" i="9" s="1"/>
  <c r="H776" i="9"/>
  <c r="I776" i="9"/>
  <c r="J776" i="9"/>
  <c r="K776" i="9"/>
  <c r="M776" i="9"/>
  <c r="L776" i="9"/>
  <c r="F777" i="9"/>
  <c r="G777" i="9" s="1"/>
  <c r="H777" i="9"/>
  <c r="I777" i="9"/>
  <c r="J777" i="9"/>
  <c r="K777" i="9"/>
  <c r="M777" i="9"/>
  <c r="L777" i="9"/>
  <c r="F778" i="9"/>
  <c r="G778" i="9" s="1"/>
  <c r="H778" i="9"/>
  <c r="I778" i="9"/>
  <c r="J778" i="9"/>
  <c r="K778" i="9"/>
  <c r="M778" i="9"/>
  <c r="L778" i="9"/>
  <c r="F779" i="9"/>
  <c r="G779" i="9" s="1"/>
  <c r="H779" i="9"/>
  <c r="I779" i="9"/>
  <c r="J779" i="9"/>
  <c r="K779" i="9"/>
  <c r="M779" i="9"/>
  <c r="L779" i="9"/>
  <c r="F780" i="9"/>
  <c r="G780" i="9" s="1"/>
  <c r="H780" i="9"/>
  <c r="I780" i="9"/>
  <c r="J780" i="9"/>
  <c r="K780" i="9"/>
  <c r="M780" i="9"/>
  <c r="L780" i="9"/>
  <c r="F781" i="9"/>
  <c r="G781" i="9" s="1"/>
  <c r="H781" i="9"/>
  <c r="I781" i="9"/>
  <c r="J781" i="9"/>
  <c r="K781" i="9"/>
  <c r="M781" i="9"/>
  <c r="L781" i="9"/>
  <c r="F782" i="9"/>
  <c r="G782" i="9" s="1"/>
  <c r="H782" i="9"/>
  <c r="I782" i="9"/>
  <c r="J782" i="9"/>
  <c r="K782" i="9"/>
  <c r="M782" i="9"/>
  <c r="L782" i="9"/>
  <c r="F783" i="9"/>
  <c r="G783" i="9" s="1"/>
  <c r="H783" i="9"/>
  <c r="I783" i="9"/>
  <c r="J783" i="9"/>
  <c r="K783" i="9"/>
  <c r="M783" i="9"/>
  <c r="L783" i="9"/>
  <c r="F784" i="9"/>
  <c r="G784" i="9" s="1"/>
  <c r="H784" i="9"/>
  <c r="I784" i="9"/>
  <c r="J784" i="9"/>
  <c r="K784" i="9"/>
  <c r="M784" i="9"/>
  <c r="L784" i="9"/>
  <c r="F785" i="9"/>
  <c r="G785" i="9" s="1"/>
  <c r="H785" i="9"/>
  <c r="I785" i="9"/>
  <c r="J785" i="9"/>
  <c r="K785" i="9"/>
  <c r="M785" i="9"/>
  <c r="L785" i="9"/>
  <c r="F786" i="9"/>
  <c r="G786" i="9" s="1"/>
  <c r="H786" i="9"/>
  <c r="I786" i="9"/>
  <c r="J786" i="9"/>
  <c r="K786" i="9"/>
  <c r="M786" i="9"/>
  <c r="L786" i="9"/>
  <c r="F787" i="9"/>
  <c r="G787" i="9" s="1"/>
  <c r="H787" i="9"/>
  <c r="I787" i="9"/>
  <c r="J787" i="9"/>
  <c r="K787" i="9"/>
  <c r="M787" i="9"/>
  <c r="L787" i="9"/>
  <c r="F788" i="9"/>
  <c r="G788" i="9" s="1"/>
  <c r="H788" i="9"/>
  <c r="I788" i="9"/>
  <c r="J788" i="9"/>
  <c r="K788" i="9"/>
  <c r="M788" i="9"/>
  <c r="L788" i="9"/>
  <c r="F789" i="9"/>
  <c r="G789" i="9" s="1"/>
  <c r="H789" i="9"/>
  <c r="I789" i="9"/>
  <c r="J789" i="9"/>
  <c r="K789" i="9"/>
  <c r="M789" i="9"/>
  <c r="L789" i="9"/>
  <c r="F790" i="9"/>
  <c r="G790" i="9" s="1"/>
  <c r="H790" i="9"/>
  <c r="I790" i="9"/>
  <c r="J790" i="9"/>
  <c r="K790" i="9"/>
  <c r="M790" i="9"/>
  <c r="L790" i="9"/>
  <c r="F791" i="9"/>
  <c r="G791" i="9" s="1"/>
  <c r="H791" i="9"/>
  <c r="I791" i="9"/>
  <c r="J791" i="9"/>
  <c r="K791" i="9"/>
  <c r="M791" i="9"/>
  <c r="L791" i="9"/>
  <c r="F792" i="9"/>
  <c r="G792" i="9" s="1"/>
  <c r="H792" i="9"/>
  <c r="I792" i="9"/>
  <c r="J792" i="9"/>
  <c r="K792" i="9"/>
  <c r="M792" i="9"/>
  <c r="L792" i="9"/>
  <c r="F793" i="9"/>
  <c r="G793" i="9" s="1"/>
  <c r="H793" i="9"/>
  <c r="I793" i="9"/>
  <c r="J793" i="9"/>
  <c r="K793" i="9"/>
  <c r="M793" i="9"/>
  <c r="L793" i="9"/>
  <c r="F794" i="9"/>
  <c r="G794" i="9" s="1"/>
  <c r="H794" i="9"/>
  <c r="I794" i="9"/>
  <c r="J794" i="9"/>
  <c r="K794" i="9"/>
  <c r="M794" i="9"/>
  <c r="L794" i="9"/>
  <c r="F795" i="9"/>
  <c r="G795" i="9" s="1"/>
  <c r="H795" i="9"/>
  <c r="I795" i="9"/>
  <c r="J795" i="9"/>
  <c r="K795" i="9"/>
  <c r="M795" i="9"/>
  <c r="L795" i="9"/>
  <c r="F796" i="9"/>
  <c r="G796" i="9" s="1"/>
  <c r="H796" i="9"/>
  <c r="I796" i="9"/>
  <c r="J796" i="9"/>
  <c r="K796" i="9"/>
  <c r="M796" i="9"/>
  <c r="L796" i="9"/>
  <c r="F797" i="9"/>
  <c r="G797" i="9" s="1"/>
  <c r="H797" i="9"/>
  <c r="I797" i="9"/>
  <c r="J797" i="9"/>
  <c r="K797" i="9"/>
  <c r="M797" i="9"/>
  <c r="L797" i="9"/>
  <c r="F798" i="9"/>
  <c r="G798" i="9" s="1"/>
  <c r="H798" i="9"/>
  <c r="I798" i="9"/>
  <c r="J798" i="9"/>
  <c r="K798" i="9"/>
  <c r="M798" i="9"/>
  <c r="L798" i="9"/>
  <c r="F799" i="9"/>
  <c r="G799" i="9" s="1"/>
  <c r="H799" i="9"/>
  <c r="I799" i="9"/>
  <c r="J799" i="9"/>
  <c r="K799" i="9"/>
  <c r="M799" i="9"/>
  <c r="L799" i="9"/>
  <c r="F800" i="9"/>
  <c r="G800" i="9" s="1"/>
  <c r="H800" i="9"/>
  <c r="I800" i="9"/>
  <c r="J800" i="9"/>
  <c r="K800" i="9"/>
  <c r="M800" i="9"/>
  <c r="L800" i="9"/>
  <c r="F801" i="9"/>
  <c r="G801" i="9" s="1"/>
  <c r="H801" i="9"/>
  <c r="I801" i="9"/>
  <c r="J801" i="9"/>
  <c r="K801" i="9"/>
  <c r="M801" i="9"/>
  <c r="L801" i="9"/>
  <c r="F802" i="9"/>
  <c r="G802" i="9" s="1"/>
  <c r="H802" i="9"/>
  <c r="I802" i="9"/>
  <c r="J802" i="9"/>
  <c r="K802" i="9"/>
  <c r="M802" i="9"/>
  <c r="L802" i="9"/>
  <c r="F803" i="9"/>
  <c r="G803" i="9" s="1"/>
  <c r="H803" i="9"/>
  <c r="I803" i="9"/>
  <c r="J803" i="9"/>
  <c r="K803" i="9"/>
  <c r="M803" i="9"/>
  <c r="L803" i="9"/>
  <c r="F804" i="9"/>
  <c r="G804" i="9" s="1"/>
  <c r="H804" i="9"/>
  <c r="I804" i="9"/>
  <c r="J804" i="9"/>
  <c r="K804" i="9"/>
  <c r="M804" i="9"/>
  <c r="L804" i="9"/>
  <c r="F805" i="9"/>
  <c r="G805" i="9" s="1"/>
  <c r="H805" i="9"/>
  <c r="I805" i="9"/>
  <c r="J805" i="9"/>
  <c r="K805" i="9"/>
  <c r="M805" i="9"/>
  <c r="L805" i="9"/>
  <c r="F806" i="9"/>
  <c r="G806" i="9" s="1"/>
  <c r="H806" i="9"/>
  <c r="I806" i="9"/>
  <c r="J806" i="9"/>
  <c r="K806" i="9"/>
  <c r="M806" i="9"/>
  <c r="L806" i="9"/>
  <c r="F807" i="9"/>
  <c r="G807" i="9" s="1"/>
  <c r="H807" i="9"/>
  <c r="I807" i="9"/>
  <c r="J807" i="9"/>
  <c r="K807" i="9"/>
  <c r="M807" i="9"/>
  <c r="L807" i="9"/>
  <c r="F808" i="9"/>
  <c r="G808" i="9" s="1"/>
  <c r="H808" i="9"/>
  <c r="I808" i="9"/>
  <c r="J808" i="9"/>
  <c r="K808" i="9"/>
  <c r="M808" i="9"/>
  <c r="L808" i="9"/>
  <c r="F809" i="9"/>
  <c r="G809" i="9" s="1"/>
  <c r="H809" i="9"/>
  <c r="I809" i="9"/>
  <c r="J809" i="9"/>
  <c r="K809" i="9"/>
  <c r="M809" i="9"/>
  <c r="L809" i="9"/>
  <c r="F810" i="9"/>
  <c r="G810" i="9" s="1"/>
  <c r="H810" i="9"/>
  <c r="I810" i="9"/>
  <c r="J810" i="9"/>
  <c r="K810" i="9"/>
  <c r="M810" i="9"/>
  <c r="L810" i="9"/>
  <c r="F811" i="9"/>
  <c r="G811" i="9" s="1"/>
  <c r="H811" i="9"/>
  <c r="I811" i="9"/>
  <c r="J811" i="9"/>
  <c r="K811" i="9"/>
  <c r="M811" i="9"/>
  <c r="L811" i="9"/>
  <c r="F812" i="9"/>
  <c r="G812" i="9" s="1"/>
  <c r="H812" i="9"/>
  <c r="I812" i="9"/>
  <c r="J812" i="9"/>
  <c r="K812" i="9"/>
  <c r="M812" i="9"/>
  <c r="L812" i="9"/>
  <c r="F813" i="9"/>
  <c r="G813" i="9" s="1"/>
  <c r="H813" i="9"/>
  <c r="I813" i="9"/>
  <c r="J813" i="9"/>
  <c r="K813" i="9"/>
  <c r="M813" i="9"/>
  <c r="L813" i="9"/>
  <c r="F814" i="9"/>
  <c r="G814" i="9" s="1"/>
  <c r="H814" i="9"/>
  <c r="I814" i="9"/>
  <c r="J814" i="9"/>
  <c r="K814" i="9"/>
  <c r="M814" i="9"/>
  <c r="L814" i="9"/>
  <c r="F815" i="9"/>
  <c r="G815" i="9" s="1"/>
  <c r="H815" i="9"/>
  <c r="I815" i="9"/>
  <c r="J815" i="9"/>
  <c r="K815" i="9"/>
  <c r="M815" i="9"/>
  <c r="L815" i="9"/>
  <c r="L729" i="9"/>
  <c r="M729" i="9"/>
  <c r="K729" i="9"/>
  <c r="J729" i="9"/>
  <c r="I729" i="9"/>
  <c r="H729" i="9"/>
  <c r="F729" i="9"/>
  <c r="G729" i="9" s="1"/>
  <c r="F412" i="9"/>
  <c r="G412" i="9" s="1"/>
  <c r="H412" i="9"/>
  <c r="I412" i="9"/>
  <c r="J412" i="9"/>
  <c r="K412" i="9"/>
  <c r="M412" i="9"/>
  <c r="L412" i="9"/>
  <c r="F413" i="9"/>
  <c r="G413" i="9" s="1"/>
  <c r="H413" i="9"/>
  <c r="I413" i="9"/>
  <c r="J413" i="9"/>
  <c r="K413" i="9"/>
  <c r="M413" i="9"/>
  <c r="L413" i="9"/>
  <c r="L411" i="9"/>
  <c r="M411" i="9"/>
  <c r="K411" i="9"/>
  <c r="J411" i="9"/>
  <c r="I411" i="9"/>
  <c r="H411" i="9"/>
  <c r="F411" i="9"/>
  <c r="G411" i="9" s="1"/>
  <c r="F501" i="9"/>
  <c r="G501" i="9" s="1"/>
  <c r="H501" i="9"/>
  <c r="I501" i="9"/>
  <c r="J501" i="9"/>
  <c r="K501" i="9"/>
  <c r="M501" i="9"/>
  <c r="L501" i="9"/>
  <c r="F502" i="9"/>
  <c r="G502" i="9" s="1"/>
  <c r="H502" i="9"/>
  <c r="I502" i="9"/>
  <c r="J502" i="9"/>
  <c r="K502" i="9"/>
  <c r="M502" i="9"/>
  <c r="L502" i="9"/>
  <c r="F503" i="9"/>
  <c r="G503" i="9" s="1"/>
  <c r="H503" i="9"/>
  <c r="I503" i="9"/>
  <c r="J503" i="9"/>
  <c r="K503" i="9"/>
  <c r="M503" i="9"/>
  <c r="L503" i="9"/>
  <c r="F504" i="9"/>
  <c r="G504" i="9" s="1"/>
  <c r="H504" i="9"/>
  <c r="I504" i="9"/>
  <c r="J504" i="9"/>
  <c r="K504" i="9"/>
  <c r="M504" i="9"/>
  <c r="L504" i="9"/>
  <c r="F505" i="9"/>
  <c r="G505" i="9" s="1"/>
  <c r="H505" i="9"/>
  <c r="I505" i="9"/>
  <c r="J505" i="9"/>
  <c r="K505" i="9"/>
  <c r="M505" i="9"/>
  <c r="L505" i="9"/>
  <c r="F506" i="9"/>
  <c r="G506" i="9" s="1"/>
  <c r="H506" i="9"/>
  <c r="I506" i="9"/>
  <c r="J506" i="9"/>
  <c r="K506" i="9"/>
  <c r="M506" i="9"/>
  <c r="L506" i="9"/>
  <c r="F507" i="9"/>
  <c r="G507" i="9" s="1"/>
  <c r="H507" i="9"/>
  <c r="I507" i="9"/>
  <c r="J507" i="9"/>
  <c r="K507" i="9"/>
  <c r="M507" i="9"/>
  <c r="L507" i="9"/>
  <c r="F508" i="9"/>
  <c r="G508" i="9" s="1"/>
  <c r="H508" i="9"/>
  <c r="I508" i="9"/>
  <c r="J508" i="9"/>
  <c r="K508" i="9"/>
  <c r="M508" i="9"/>
  <c r="L508" i="9"/>
  <c r="F509" i="9"/>
  <c r="G509" i="9" s="1"/>
  <c r="H509" i="9"/>
  <c r="I509" i="9"/>
  <c r="J509" i="9"/>
  <c r="K509" i="9"/>
  <c r="M509" i="9"/>
  <c r="L509" i="9"/>
  <c r="F510" i="9"/>
  <c r="G510" i="9" s="1"/>
  <c r="H510" i="9"/>
  <c r="I510" i="9"/>
  <c r="J510" i="9"/>
  <c r="K510" i="9"/>
  <c r="M510" i="9"/>
  <c r="L510" i="9"/>
  <c r="F511" i="9"/>
  <c r="G511" i="9" s="1"/>
  <c r="H511" i="9"/>
  <c r="I511" i="9"/>
  <c r="J511" i="9"/>
  <c r="K511" i="9"/>
  <c r="M511" i="9"/>
  <c r="L511" i="9"/>
  <c r="F512" i="9"/>
  <c r="G512" i="9" s="1"/>
  <c r="H512" i="9"/>
  <c r="I512" i="9"/>
  <c r="J512" i="9"/>
  <c r="K512" i="9"/>
  <c r="M512" i="9"/>
  <c r="L512" i="9"/>
  <c r="F513" i="9"/>
  <c r="G513" i="9" s="1"/>
  <c r="H513" i="9"/>
  <c r="I513" i="9"/>
  <c r="J513" i="9"/>
  <c r="K513" i="9"/>
  <c r="M513" i="9"/>
  <c r="L513" i="9"/>
  <c r="F514" i="9"/>
  <c r="G514" i="9" s="1"/>
  <c r="H514" i="9"/>
  <c r="I514" i="9"/>
  <c r="J514" i="9"/>
  <c r="K514" i="9"/>
  <c r="M514" i="9"/>
  <c r="L514" i="9"/>
  <c r="F515" i="9"/>
  <c r="G515" i="9" s="1"/>
  <c r="H515" i="9"/>
  <c r="I515" i="9"/>
  <c r="J515" i="9"/>
  <c r="K515" i="9"/>
  <c r="M515" i="9"/>
  <c r="L515" i="9"/>
  <c r="F516" i="9"/>
  <c r="G516" i="9" s="1"/>
  <c r="H516" i="9"/>
  <c r="I516" i="9"/>
  <c r="J516" i="9"/>
  <c r="K516" i="9"/>
  <c r="M516" i="9"/>
  <c r="L516" i="9"/>
  <c r="F517" i="9"/>
  <c r="G517" i="9" s="1"/>
  <c r="H517" i="9"/>
  <c r="I517" i="9"/>
  <c r="J517" i="9"/>
  <c r="K517" i="9"/>
  <c r="M517" i="9"/>
  <c r="L517" i="9"/>
  <c r="F518" i="9"/>
  <c r="G518" i="9" s="1"/>
  <c r="H518" i="9"/>
  <c r="I518" i="9"/>
  <c r="J518" i="9"/>
  <c r="K518" i="9"/>
  <c r="M518" i="9"/>
  <c r="L518" i="9"/>
  <c r="F519" i="9"/>
  <c r="G519" i="9" s="1"/>
  <c r="H519" i="9"/>
  <c r="I519" i="9"/>
  <c r="J519" i="9"/>
  <c r="K519" i="9"/>
  <c r="M519" i="9"/>
  <c r="L519" i="9"/>
  <c r="F520" i="9"/>
  <c r="G520" i="9" s="1"/>
  <c r="H520" i="9"/>
  <c r="I520" i="9"/>
  <c r="J520" i="9"/>
  <c r="K520" i="9"/>
  <c r="M520" i="9"/>
  <c r="L520" i="9"/>
  <c r="F521" i="9"/>
  <c r="G521" i="9" s="1"/>
  <c r="H521" i="9"/>
  <c r="I521" i="9"/>
  <c r="J521" i="9"/>
  <c r="K521" i="9"/>
  <c r="M521" i="9"/>
  <c r="L521" i="9"/>
  <c r="F522" i="9"/>
  <c r="G522" i="9" s="1"/>
  <c r="H522" i="9"/>
  <c r="I522" i="9"/>
  <c r="J522" i="9"/>
  <c r="K522" i="9"/>
  <c r="M522" i="9"/>
  <c r="L522" i="9"/>
  <c r="F523" i="9"/>
  <c r="G523" i="9" s="1"/>
  <c r="H523" i="9"/>
  <c r="I523" i="9"/>
  <c r="J523" i="9"/>
  <c r="K523" i="9"/>
  <c r="M523" i="9"/>
  <c r="L523" i="9"/>
  <c r="F524" i="9"/>
  <c r="G524" i="9" s="1"/>
  <c r="H524" i="9"/>
  <c r="I524" i="9"/>
  <c r="J524" i="9"/>
  <c r="K524" i="9"/>
  <c r="M524" i="9"/>
  <c r="L524" i="9"/>
  <c r="F525" i="9"/>
  <c r="G525" i="9" s="1"/>
  <c r="H525" i="9"/>
  <c r="I525" i="9"/>
  <c r="J525" i="9"/>
  <c r="K525" i="9"/>
  <c r="M525" i="9"/>
  <c r="L525" i="9"/>
  <c r="F526" i="9"/>
  <c r="G526" i="9" s="1"/>
  <c r="H526" i="9"/>
  <c r="I526" i="9"/>
  <c r="J526" i="9"/>
  <c r="K526" i="9"/>
  <c r="M526" i="9"/>
  <c r="L526" i="9"/>
  <c r="F527" i="9"/>
  <c r="G527" i="9" s="1"/>
  <c r="H527" i="9"/>
  <c r="I527" i="9"/>
  <c r="J527" i="9"/>
  <c r="K527" i="9"/>
  <c r="M527" i="9"/>
  <c r="L527" i="9"/>
  <c r="F528" i="9"/>
  <c r="G528" i="9" s="1"/>
  <c r="H528" i="9"/>
  <c r="I528" i="9"/>
  <c r="J528" i="9"/>
  <c r="K528" i="9"/>
  <c r="M528" i="9"/>
  <c r="L528" i="9"/>
  <c r="F529" i="9"/>
  <c r="G529" i="9" s="1"/>
  <c r="H529" i="9"/>
  <c r="I529" i="9"/>
  <c r="J529" i="9"/>
  <c r="K529" i="9"/>
  <c r="M529" i="9"/>
  <c r="L529" i="9"/>
  <c r="F530" i="9"/>
  <c r="G530" i="9" s="1"/>
  <c r="H530" i="9"/>
  <c r="I530" i="9"/>
  <c r="J530" i="9"/>
  <c r="K530" i="9"/>
  <c r="M530" i="9"/>
  <c r="L530" i="9"/>
  <c r="F531" i="9"/>
  <c r="G531" i="9" s="1"/>
  <c r="H531" i="9"/>
  <c r="I531" i="9"/>
  <c r="J531" i="9"/>
  <c r="K531" i="9"/>
  <c r="M531" i="9"/>
  <c r="L531" i="9"/>
  <c r="F532" i="9"/>
  <c r="G532" i="9" s="1"/>
  <c r="H532" i="9"/>
  <c r="I532" i="9"/>
  <c r="J532" i="9"/>
  <c r="K532" i="9"/>
  <c r="M532" i="9"/>
  <c r="L532" i="9"/>
  <c r="F533" i="9"/>
  <c r="G533" i="9" s="1"/>
  <c r="H533" i="9"/>
  <c r="I533" i="9"/>
  <c r="J533" i="9"/>
  <c r="K533" i="9"/>
  <c r="M533" i="9"/>
  <c r="L533" i="9"/>
  <c r="F534" i="9"/>
  <c r="G534" i="9" s="1"/>
  <c r="H534" i="9"/>
  <c r="I534" i="9"/>
  <c r="J534" i="9"/>
  <c r="K534" i="9"/>
  <c r="M534" i="9"/>
  <c r="L534" i="9"/>
  <c r="F535" i="9"/>
  <c r="G535" i="9" s="1"/>
  <c r="H535" i="9"/>
  <c r="I535" i="9"/>
  <c r="J535" i="9"/>
  <c r="K535" i="9"/>
  <c r="M535" i="9"/>
  <c r="L535" i="9"/>
  <c r="F536" i="9"/>
  <c r="G536" i="9" s="1"/>
  <c r="H536" i="9"/>
  <c r="I536" i="9"/>
  <c r="J536" i="9"/>
  <c r="K536" i="9"/>
  <c r="M536" i="9"/>
  <c r="L536" i="9"/>
  <c r="F537" i="9"/>
  <c r="G537" i="9" s="1"/>
  <c r="H537" i="9"/>
  <c r="I537" i="9"/>
  <c r="J537" i="9"/>
  <c r="K537" i="9"/>
  <c r="M537" i="9"/>
  <c r="L537" i="9"/>
  <c r="F538" i="9"/>
  <c r="G538" i="9" s="1"/>
  <c r="H538" i="9"/>
  <c r="I538" i="9"/>
  <c r="J538" i="9"/>
  <c r="K538" i="9"/>
  <c r="M538" i="9"/>
  <c r="L538" i="9"/>
  <c r="F539" i="9"/>
  <c r="G539" i="9" s="1"/>
  <c r="H539" i="9"/>
  <c r="I539" i="9"/>
  <c r="J539" i="9"/>
  <c r="K539" i="9"/>
  <c r="M539" i="9"/>
  <c r="L539" i="9"/>
  <c r="F540" i="9"/>
  <c r="G540" i="9" s="1"/>
  <c r="H540" i="9"/>
  <c r="I540" i="9"/>
  <c r="J540" i="9"/>
  <c r="K540" i="9"/>
  <c r="M540" i="9"/>
  <c r="L540" i="9"/>
  <c r="F541" i="9"/>
  <c r="G541" i="9" s="1"/>
  <c r="H541" i="9"/>
  <c r="I541" i="9"/>
  <c r="J541" i="9"/>
  <c r="K541" i="9"/>
  <c r="M541" i="9"/>
  <c r="L541" i="9"/>
  <c r="F542" i="9"/>
  <c r="G542" i="9" s="1"/>
  <c r="H542" i="9"/>
  <c r="I542" i="9"/>
  <c r="J542" i="9"/>
  <c r="K542" i="9"/>
  <c r="M542" i="9"/>
  <c r="L542" i="9"/>
  <c r="F543" i="9"/>
  <c r="G543" i="9" s="1"/>
  <c r="H543" i="9"/>
  <c r="I543" i="9"/>
  <c r="J543" i="9"/>
  <c r="K543" i="9"/>
  <c r="M543" i="9"/>
  <c r="L543" i="9"/>
  <c r="F544" i="9"/>
  <c r="G544" i="9" s="1"/>
  <c r="H544" i="9"/>
  <c r="I544" i="9"/>
  <c r="J544" i="9"/>
  <c r="K544" i="9"/>
  <c r="M544" i="9"/>
  <c r="L544" i="9"/>
  <c r="F545" i="9"/>
  <c r="G545" i="9" s="1"/>
  <c r="H545" i="9"/>
  <c r="I545" i="9"/>
  <c r="J545" i="9"/>
  <c r="K545" i="9"/>
  <c r="M545" i="9"/>
  <c r="L545" i="9"/>
  <c r="F546" i="9"/>
  <c r="G546" i="9" s="1"/>
  <c r="H546" i="9"/>
  <c r="I546" i="9"/>
  <c r="J546" i="9"/>
  <c r="K546" i="9"/>
  <c r="M546" i="9"/>
  <c r="L546" i="9"/>
  <c r="F547" i="9"/>
  <c r="G547" i="9" s="1"/>
  <c r="H547" i="9"/>
  <c r="I547" i="9"/>
  <c r="J547" i="9"/>
  <c r="K547" i="9"/>
  <c r="M547" i="9"/>
  <c r="L547" i="9"/>
  <c r="F548" i="9"/>
  <c r="G548" i="9" s="1"/>
  <c r="H548" i="9"/>
  <c r="I548" i="9"/>
  <c r="J548" i="9"/>
  <c r="K548" i="9"/>
  <c r="M548" i="9"/>
  <c r="L548" i="9"/>
  <c r="F549" i="9"/>
  <c r="G549" i="9" s="1"/>
  <c r="H549" i="9"/>
  <c r="I549" i="9"/>
  <c r="J549" i="9"/>
  <c r="K549" i="9"/>
  <c r="M549" i="9"/>
  <c r="L549" i="9"/>
  <c r="F550" i="9"/>
  <c r="G550" i="9" s="1"/>
  <c r="H550" i="9"/>
  <c r="I550" i="9"/>
  <c r="J550" i="9"/>
  <c r="K550" i="9"/>
  <c r="M550" i="9"/>
  <c r="L550" i="9"/>
  <c r="F551" i="9"/>
  <c r="G551" i="9" s="1"/>
  <c r="H551" i="9"/>
  <c r="I551" i="9"/>
  <c r="J551" i="9"/>
  <c r="K551" i="9"/>
  <c r="M551" i="9"/>
  <c r="L551" i="9"/>
  <c r="F552" i="9"/>
  <c r="G552" i="9" s="1"/>
  <c r="H552" i="9"/>
  <c r="I552" i="9"/>
  <c r="J552" i="9"/>
  <c r="K552" i="9"/>
  <c r="M552" i="9"/>
  <c r="L552" i="9"/>
  <c r="F553" i="9"/>
  <c r="G553" i="9" s="1"/>
  <c r="H553" i="9"/>
  <c r="I553" i="9"/>
  <c r="J553" i="9"/>
  <c r="K553" i="9"/>
  <c r="M553" i="9"/>
  <c r="L553" i="9"/>
  <c r="F554" i="9"/>
  <c r="G554" i="9" s="1"/>
  <c r="H554" i="9"/>
  <c r="I554" i="9"/>
  <c r="J554" i="9"/>
  <c r="K554" i="9"/>
  <c r="M554" i="9"/>
  <c r="L554" i="9"/>
  <c r="F555" i="9"/>
  <c r="G555" i="9" s="1"/>
  <c r="H555" i="9"/>
  <c r="I555" i="9"/>
  <c r="J555" i="9"/>
  <c r="K555" i="9"/>
  <c r="M555" i="9"/>
  <c r="L555" i="9"/>
  <c r="F556" i="9"/>
  <c r="G556" i="9" s="1"/>
  <c r="H556" i="9"/>
  <c r="I556" i="9"/>
  <c r="J556" i="9"/>
  <c r="K556" i="9"/>
  <c r="M556" i="9"/>
  <c r="L556" i="9"/>
  <c r="L500" i="9"/>
  <c r="M500" i="9"/>
  <c r="K500" i="9"/>
  <c r="J500" i="9"/>
  <c r="I500" i="9"/>
  <c r="H500" i="9"/>
  <c r="F500" i="9"/>
  <c r="G500" i="9" s="1"/>
  <c r="F480" i="9"/>
  <c r="G480" i="9" s="1"/>
  <c r="H480" i="9"/>
  <c r="I480" i="9"/>
  <c r="J480" i="9"/>
  <c r="K480" i="9"/>
  <c r="M480" i="9"/>
  <c r="L480" i="9"/>
  <c r="F481" i="9"/>
  <c r="G481" i="9" s="1"/>
  <c r="H481" i="9"/>
  <c r="I481" i="9"/>
  <c r="J481" i="9"/>
  <c r="K481" i="9"/>
  <c r="M481" i="9"/>
  <c r="L481" i="9"/>
  <c r="F482" i="9"/>
  <c r="G482" i="9" s="1"/>
  <c r="H482" i="9"/>
  <c r="I482" i="9"/>
  <c r="J482" i="9"/>
  <c r="K482" i="9"/>
  <c r="M482" i="9"/>
  <c r="L482" i="9"/>
  <c r="F483" i="9"/>
  <c r="G483" i="9" s="1"/>
  <c r="H483" i="9"/>
  <c r="I483" i="9"/>
  <c r="J483" i="9"/>
  <c r="K483" i="9"/>
  <c r="M483" i="9"/>
  <c r="L483" i="9"/>
  <c r="F484" i="9"/>
  <c r="G484" i="9" s="1"/>
  <c r="H484" i="9"/>
  <c r="I484" i="9"/>
  <c r="J484" i="9"/>
  <c r="K484" i="9"/>
  <c r="M484" i="9"/>
  <c r="L484" i="9"/>
  <c r="F485" i="9"/>
  <c r="G485" i="9" s="1"/>
  <c r="H485" i="9"/>
  <c r="I485" i="9"/>
  <c r="J485" i="9"/>
  <c r="K485" i="9"/>
  <c r="M485" i="9"/>
  <c r="L485" i="9"/>
  <c r="F486" i="9"/>
  <c r="G486" i="9" s="1"/>
  <c r="H486" i="9"/>
  <c r="I486" i="9"/>
  <c r="J486" i="9"/>
  <c r="K486" i="9"/>
  <c r="M486" i="9"/>
  <c r="L486" i="9"/>
  <c r="F487" i="9"/>
  <c r="G487" i="9" s="1"/>
  <c r="H487" i="9"/>
  <c r="I487" i="9"/>
  <c r="J487" i="9"/>
  <c r="K487" i="9"/>
  <c r="M487" i="9"/>
  <c r="L487" i="9"/>
  <c r="F488" i="9"/>
  <c r="G488" i="9" s="1"/>
  <c r="H488" i="9"/>
  <c r="I488" i="9"/>
  <c r="J488" i="9"/>
  <c r="K488" i="9"/>
  <c r="M488" i="9"/>
  <c r="L488" i="9"/>
  <c r="F489" i="9"/>
  <c r="G489" i="9" s="1"/>
  <c r="H489" i="9"/>
  <c r="I489" i="9"/>
  <c r="J489" i="9"/>
  <c r="K489" i="9"/>
  <c r="M489" i="9"/>
  <c r="L489" i="9"/>
  <c r="F490" i="9"/>
  <c r="G490" i="9" s="1"/>
  <c r="H490" i="9"/>
  <c r="I490" i="9"/>
  <c r="J490" i="9"/>
  <c r="K490" i="9"/>
  <c r="M490" i="9"/>
  <c r="L490" i="9"/>
  <c r="F491" i="9"/>
  <c r="G491" i="9" s="1"/>
  <c r="H491" i="9"/>
  <c r="I491" i="9"/>
  <c r="J491" i="9"/>
  <c r="K491" i="9"/>
  <c r="M491" i="9"/>
  <c r="L491" i="9"/>
  <c r="F492" i="9"/>
  <c r="G492" i="9" s="1"/>
  <c r="H492" i="9"/>
  <c r="I492" i="9"/>
  <c r="J492" i="9"/>
  <c r="K492" i="9"/>
  <c r="M492" i="9"/>
  <c r="L492" i="9"/>
  <c r="F493" i="9"/>
  <c r="G493" i="9" s="1"/>
  <c r="H493" i="9"/>
  <c r="I493" i="9"/>
  <c r="J493" i="9"/>
  <c r="K493" i="9"/>
  <c r="M493" i="9"/>
  <c r="L493" i="9"/>
  <c r="F494" i="9"/>
  <c r="G494" i="9" s="1"/>
  <c r="H494" i="9"/>
  <c r="I494" i="9"/>
  <c r="J494" i="9"/>
  <c r="K494" i="9"/>
  <c r="M494" i="9"/>
  <c r="L494" i="9"/>
  <c r="F495" i="9"/>
  <c r="G495" i="9" s="1"/>
  <c r="H495" i="9"/>
  <c r="I495" i="9"/>
  <c r="J495" i="9"/>
  <c r="K495" i="9"/>
  <c r="M495" i="9"/>
  <c r="L495" i="9"/>
  <c r="F496" i="9"/>
  <c r="G496" i="9" s="1"/>
  <c r="H496" i="9"/>
  <c r="I496" i="9"/>
  <c r="J496" i="9"/>
  <c r="K496" i="9"/>
  <c r="M496" i="9"/>
  <c r="L496" i="9"/>
  <c r="F497" i="9"/>
  <c r="G497" i="9" s="1"/>
  <c r="H497" i="9"/>
  <c r="I497" i="9"/>
  <c r="J497" i="9"/>
  <c r="K497" i="9"/>
  <c r="M497" i="9"/>
  <c r="L497" i="9"/>
  <c r="L479" i="9"/>
  <c r="M479" i="9"/>
  <c r="K479" i="9"/>
  <c r="J479" i="9"/>
  <c r="I479" i="9"/>
  <c r="H479" i="9"/>
  <c r="F479" i="9"/>
  <c r="G479" i="9" s="1"/>
  <c r="F242" i="9"/>
  <c r="G242" i="9" s="1"/>
  <c r="H242" i="9"/>
  <c r="I242" i="9"/>
  <c r="J242" i="9"/>
  <c r="K242" i="9"/>
  <c r="M242" i="9"/>
  <c r="L242" i="9"/>
  <c r="F243" i="9"/>
  <c r="G243" i="9" s="1"/>
  <c r="H243" i="9"/>
  <c r="I243" i="9"/>
  <c r="J243" i="9"/>
  <c r="K243" i="9"/>
  <c r="M243" i="9"/>
  <c r="L243" i="9"/>
  <c r="F244" i="9"/>
  <c r="G244" i="9" s="1"/>
  <c r="H244" i="9"/>
  <c r="I244" i="9"/>
  <c r="J244" i="9"/>
  <c r="K244" i="9"/>
  <c r="M244" i="9"/>
  <c r="L244" i="9"/>
  <c r="F245" i="9"/>
  <c r="G245" i="9" s="1"/>
  <c r="H245" i="9"/>
  <c r="I245" i="9"/>
  <c r="J245" i="9"/>
  <c r="K245" i="9"/>
  <c r="M245" i="9"/>
  <c r="L245" i="9"/>
  <c r="F246" i="9"/>
  <c r="G246" i="9" s="1"/>
  <c r="H246" i="9"/>
  <c r="I246" i="9"/>
  <c r="J246" i="9"/>
  <c r="K246" i="9"/>
  <c r="M246" i="9"/>
  <c r="L246" i="9"/>
  <c r="F247" i="9"/>
  <c r="G247" i="9" s="1"/>
  <c r="H247" i="9"/>
  <c r="I247" i="9"/>
  <c r="J247" i="9"/>
  <c r="K247" i="9"/>
  <c r="M247" i="9"/>
  <c r="L247" i="9"/>
  <c r="F248" i="9"/>
  <c r="G248" i="9" s="1"/>
  <c r="H248" i="9"/>
  <c r="I248" i="9"/>
  <c r="J248" i="9"/>
  <c r="K248" i="9"/>
  <c r="M248" i="9"/>
  <c r="L248" i="9"/>
  <c r="F249" i="9"/>
  <c r="G249" i="9" s="1"/>
  <c r="H249" i="9"/>
  <c r="I249" i="9"/>
  <c r="J249" i="9"/>
  <c r="K249" i="9"/>
  <c r="M249" i="9"/>
  <c r="L249" i="9"/>
  <c r="F250" i="9"/>
  <c r="G250" i="9" s="1"/>
  <c r="H250" i="9"/>
  <c r="I250" i="9"/>
  <c r="J250" i="9"/>
  <c r="K250" i="9"/>
  <c r="M250" i="9"/>
  <c r="L250" i="9"/>
  <c r="F251" i="9"/>
  <c r="G251" i="9" s="1"/>
  <c r="H251" i="9"/>
  <c r="I251" i="9"/>
  <c r="J251" i="9"/>
  <c r="K251" i="9"/>
  <c r="M251" i="9"/>
  <c r="L251" i="9"/>
  <c r="F252" i="9"/>
  <c r="G252" i="9" s="1"/>
  <c r="H252" i="9"/>
  <c r="I252" i="9"/>
  <c r="J252" i="9"/>
  <c r="K252" i="9"/>
  <c r="M252" i="9"/>
  <c r="L252" i="9"/>
  <c r="F253" i="9"/>
  <c r="G253" i="9" s="1"/>
  <c r="H253" i="9"/>
  <c r="I253" i="9"/>
  <c r="J253" i="9"/>
  <c r="K253" i="9"/>
  <c r="M253" i="9"/>
  <c r="L253" i="9"/>
  <c r="F254" i="9"/>
  <c r="G254" i="9" s="1"/>
  <c r="H254" i="9"/>
  <c r="I254" i="9"/>
  <c r="J254" i="9"/>
  <c r="K254" i="9"/>
  <c r="M254" i="9"/>
  <c r="L254" i="9"/>
  <c r="F255" i="9"/>
  <c r="G255" i="9" s="1"/>
  <c r="H255" i="9"/>
  <c r="I255" i="9"/>
  <c r="J255" i="9"/>
  <c r="K255" i="9"/>
  <c r="M255" i="9"/>
  <c r="L255" i="9"/>
  <c r="F256" i="9"/>
  <c r="G256" i="9" s="1"/>
  <c r="H256" i="9"/>
  <c r="I256" i="9"/>
  <c r="J256" i="9"/>
  <c r="K256" i="9"/>
  <c r="M256" i="9"/>
  <c r="L256" i="9"/>
  <c r="F257" i="9"/>
  <c r="G257" i="9" s="1"/>
  <c r="H257" i="9"/>
  <c r="I257" i="9"/>
  <c r="J257" i="9"/>
  <c r="K257" i="9"/>
  <c r="M257" i="9"/>
  <c r="L257" i="9"/>
  <c r="F258" i="9"/>
  <c r="G258" i="9" s="1"/>
  <c r="H258" i="9"/>
  <c r="I258" i="9"/>
  <c r="J258" i="9"/>
  <c r="K258" i="9"/>
  <c r="M258" i="9"/>
  <c r="L258" i="9"/>
  <c r="F259" i="9"/>
  <c r="G259" i="9" s="1"/>
  <c r="H259" i="9"/>
  <c r="I259" i="9"/>
  <c r="J259" i="9"/>
  <c r="K259" i="9"/>
  <c r="M259" i="9"/>
  <c r="L259" i="9"/>
  <c r="F260" i="9"/>
  <c r="G260" i="9" s="1"/>
  <c r="H260" i="9"/>
  <c r="I260" i="9"/>
  <c r="J260" i="9"/>
  <c r="K260" i="9"/>
  <c r="M260" i="9"/>
  <c r="L260" i="9"/>
  <c r="F261" i="9"/>
  <c r="G261" i="9" s="1"/>
  <c r="H261" i="9"/>
  <c r="I261" i="9"/>
  <c r="J261" i="9"/>
  <c r="K261" i="9"/>
  <c r="M261" i="9"/>
  <c r="L261" i="9"/>
  <c r="F262" i="9"/>
  <c r="G262" i="9" s="1"/>
  <c r="H262" i="9"/>
  <c r="I262" i="9"/>
  <c r="J262" i="9"/>
  <c r="K262" i="9"/>
  <c r="M262" i="9"/>
  <c r="L262" i="9"/>
  <c r="F263" i="9"/>
  <c r="G263" i="9" s="1"/>
  <c r="H263" i="9"/>
  <c r="I263" i="9"/>
  <c r="J263" i="9"/>
  <c r="K263" i="9"/>
  <c r="M263" i="9"/>
  <c r="L263" i="9"/>
  <c r="F264" i="9"/>
  <c r="G264" i="9" s="1"/>
  <c r="H264" i="9"/>
  <c r="I264" i="9"/>
  <c r="J264" i="9"/>
  <c r="K264" i="9"/>
  <c r="M264" i="9"/>
  <c r="L264" i="9"/>
  <c r="F265" i="9"/>
  <c r="G265" i="9" s="1"/>
  <c r="H265" i="9"/>
  <c r="I265" i="9"/>
  <c r="J265" i="9"/>
  <c r="K265" i="9"/>
  <c r="M265" i="9"/>
  <c r="L265" i="9"/>
  <c r="F266" i="9"/>
  <c r="G266" i="9" s="1"/>
  <c r="H266" i="9"/>
  <c r="I266" i="9"/>
  <c r="J266" i="9"/>
  <c r="K266" i="9"/>
  <c r="M266" i="9"/>
  <c r="L266" i="9"/>
  <c r="F267" i="9"/>
  <c r="G267" i="9" s="1"/>
  <c r="H267" i="9"/>
  <c r="I267" i="9"/>
  <c r="J267" i="9"/>
  <c r="K267" i="9"/>
  <c r="M267" i="9"/>
  <c r="L267" i="9"/>
  <c r="F268" i="9"/>
  <c r="G268" i="9" s="1"/>
  <c r="H268" i="9"/>
  <c r="I268" i="9"/>
  <c r="J268" i="9"/>
  <c r="K268" i="9"/>
  <c r="M268" i="9"/>
  <c r="L268" i="9"/>
  <c r="F269" i="9"/>
  <c r="G269" i="9" s="1"/>
  <c r="H269" i="9"/>
  <c r="I269" i="9"/>
  <c r="J269" i="9"/>
  <c r="K269" i="9"/>
  <c r="M269" i="9"/>
  <c r="L269" i="9"/>
  <c r="F270" i="9"/>
  <c r="G270" i="9" s="1"/>
  <c r="H270" i="9"/>
  <c r="I270" i="9"/>
  <c r="J270" i="9"/>
  <c r="K270" i="9"/>
  <c r="M270" i="9"/>
  <c r="L270" i="9"/>
  <c r="F271" i="9"/>
  <c r="G271" i="9" s="1"/>
  <c r="H271" i="9"/>
  <c r="I271" i="9"/>
  <c r="J271" i="9"/>
  <c r="K271" i="9"/>
  <c r="M271" i="9"/>
  <c r="L271" i="9"/>
  <c r="F272" i="9"/>
  <c r="G272" i="9" s="1"/>
  <c r="H272" i="9"/>
  <c r="I272" i="9"/>
  <c r="J272" i="9"/>
  <c r="K272" i="9"/>
  <c r="M272" i="9"/>
  <c r="L272" i="9"/>
  <c r="F273" i="9"/>
  <c r="G273" i="9" s="1"/>
  <c r="H273" i="9"/>
  <c r="I273" i="9"/>
  <c r="J273" i="9"/>
  <c r="K273" i="9"/>
  <c r="M273" i="9"/>
  <c r="L273" i="9"/>
  <c r="F274" i="9"/>
  <c r="G274" i="9" s="1"/>
  <c r="H274" i="9"/>
  <c r="I274" i="9"/>
  <c r="J274" i="9"/>
  <c r="K274" i="9"/>
  <c r="M274" i="9"/>
  <c r="L274" i="9"/>
  <c r="F275" i="9"/>
  <c r="G275" i="9" s="1"/>
  <c r="H275" i="9"/>
  <c r="I275" i="9"/>
  <c r="J275" i="9"/>
  <c r="K275" i="9"/>
  <c r="M275" i="9"/>
  <c r="L275" i="9"/>
  <c r="F276" i="9"/>
  <c r="G276" i="9" s="1"/>
  <c r="H276" i="9"/>
  <c r="I276" i="9"/>
  <c r="J276" i="9"/>
  <c r="K276" i="9"/>
  <c r="M276" i="9"/>
  <c r="L276" i="9"/>
  <c r="F277" i="9"/>
  <c r="G277" i="9" s="1"/>
  <c r="H277" i="9"/>
  <c r="I277" i="9"/>
  <c r="J277" i="9"/>
  <c r="K277" i="9"/>
  <c r="M277" i="9"/>
  <c r="L277" i="9"/>
  <c r="F278" i="9"/>
  <c r="G278" i="9" s="1"/>
  <c r="H278" i="9"/>
  <c r="I278" i="9"/>
  <c r="J278" i="9"/>
  <c r="K278" i="9"/>
  <c r="M278" i="9"/>
  <c r="L278" i="9"/>
  <c r="F279" i="9"/>
  <c r="G279" i="9" s="1"/>
  <c r="H279" i="9"/>
  <c r="I279" i="9"/>
  <c r="J279" i="9"/>
  <c r="K279" i="9"/>
  <c r="M279" i="9"/>
  <c r="L279" i="9"/>
  <c r="F280" i="9"/>
  <c r="G280" i="9" s="1"/>
  <c r="H280" i="9"/>
  <c r="I280" i="9"/>
  <c r="J280" i="9"/>
  <c r="K280" i="9"/>
  <c r="M280" i="9"/>
  <c r="L280" i="9"/>
  <c r="F281" i="9"/>
  <c r="G281" i="9" s="1"/>
  <c r="H281" i="9"/>
  <c r="I281" i="9"/>
  <c r="J281" i="9"/>
  <c r="K281" i="9"/>
  <c r="M281" i="9"/>
  <c r="L281" i="9"/>
  <c r="F282" i="9"/>
  <c r="G282" i="9" s="1"/>
  <c r="H282" i="9"/>
  <c r="I282" i="9"/>
  <c r="J282" i="9"/>
  <c r="K282" i="9"/>
  <c r="M282" i="9"/>
  <c r="L282" i="9"/>
  <c r="F283" i="9"/>
  <c r="G283" i="9" s="1"/>
  <c r="H283" i="9"/>
  <c r="I283" i="9"/>
  <c r="J283" i="9"/>
  <c r="K283" i="9"/>
  <c r="M283" i="9"/>
  <c r="L283" i="9"/>
  <c r="F284" i="9"/>
  <c r="G284" i="9" s="1"/>
  <c r="H284" i="9"/>
  <c r="I284" i="9"/>
  <c r="J284" i="9"/>
  <c r="K284" i="9"/>
  <c r="M284" i="9"/>
  <c r="L284" i="9"/>
  <c r="F285" i="9"/>
  <c r="G285" i="9" s="1"/>
  <c r="H285" i="9"/>
  <c r="I285" i="9"/>
  <c r="J285" i="9"/>
  <c r="K285" i="9"/>
  <c r="M285" i="9"/>
  <c r="L285" i="9"/>
  <c r="F286" i="9"/>
  <c r="G286" i="9" s="1"/>
  <c r="H286" i="9"/>
  <c r="I286" i="9"/>
  <c r="J286" i="9"/>
  <c r="K286" i="9"/>
  <c r="M286" i="9"/>
  <c r="L286" i="9"/>
  <c r="F287" i="9"/>
  <c r="G287" i="9" s="1"/>
  <c r="H287" i="9"/>
  <c r="I287" i="9"/>
  <c r="J287" i="9"/>
  <c r="K287" i="9"/>
  <c r="M287" i="9"/>
  <c r="L287" i="9"/>
  <c r="F288" i="9"/>
  <c r="G288" i="9" s="1"/>
  <c r="H288" i="9"/>
  <c r="I288" i="9"/>
  <c r="J288" i="9"/>
  <c r="K288" i="9"/>
  <c r="M288" i="9"/>
  <c r="L288" i="9"/>
  <c r="F289" i="9"/>
  <c r="G289" i="9" s="1"/>
  <c r="H289" i="9"/>
  <c r="I289" i="9"/>
  <c r="J289" i="9"/>
  <c r="K289" i="9"/>
  <c r="M289" i="9"/>
  <c r="L289" i="9"/>
  <c r="F290" i="9"/>
  <c r="G290" i="9" s="1"/>
  <c r="H290" i="9"/>
  <c r="I290" i="9"/>
  <c r="J290" i="9"/>
  <c r="K290" i="9"/>
  <c r="M290" i="9"/>
  <c r="L290" i="9"/>
  <c r="F291" i="9"/>
  <c r="G291" i="9" s="1"/>
  <c r="H291" i="9"/>
  <c r="I291" i="9"/>
  <c r="J291" i="9"/>
  <c r="K291" i="9"/>
  <c r="M291" i="9"/>
  <c r="L291" i="9"/>
  <c r="F292" i="9"/>
  <c r="G292" i="9" s="1"/>
  <c r="H292" i="9"/>
  <c r="I292" i="9"/>
  <c r="J292" i="9"/>
  <c r="K292" i="9"/>
  <c r="M292" i="9"/>
  <c r="L292" i="9"/>
  <c r="F293" i="9"/>
  <c r="G293" i="9" s="1"/>
  <c r="H293" i="9"/>
  <c r="I293" i="9"/>
  <c r="J293" i="9"/>
  <c r="K293" i="9"/>
  <c r="M293" i="9"/>
  <c r="L293" i="9"/>
  <c r="F294" i="9"/>
  <c r="G294" i="9" s="1"/>
  <c r="H294" i="9"/>
  <c r="I294" i="9"/>
  <c r="J294" i="9"/>
  <c r="K294" i="9"/>
  <c r="M294" i="9"/>
  <c r="L294" i="9"/>
  <c r="F295" i="9"/>
  <c r="G295" i="9" s="1"/>
  <c r="H295" i="9"/>
  <c r="I295" i="9"/>
  <c r="J295" i="9"/>
  <c r="K295" i="9"/>
  <c r="M295" i="9"/>
  <c r="L295" i="9"/>
  <c r="F296" i="9"/>
  <c r="G296" i="9" s="1"/>
  <c r="H296" i="9"/>
  <c r="I296" i="9"/>
  <c r="J296" i="9"/>
  <c r="K296" i="9"/>
  <c r="M296" i="9"/>
  <c r="L296" i="9"/>
  <c r="F297" i="9"/>
  <c r="G297" i="9" s="1"/>
  <c r="H297" i="9"/>
  <c r="I297" i="9"/>
  <c r="J297" i="9"/>
  <c r="K297" i="9"/>
  <c r="M297" i="9"/>
  <c r="L297" i="9"/>
  <c r="F298" i="9"/>
  <c r="G298" i="9" s="1"/>
  <c r="H298" i="9"/>
  <c r="I298" i="9"/>
  <c r="J298" i="9"/>
  <c r="K298" i="9"/>
  <c r="M298" i="9"/>
  <c r="L298" i="9"/>
  <c r="F299" i="9"/>
  <c r="G299" i="9" s="1"/>
  <c r="H299" i="9"/>
  <c r="I299" i="9"/>
  <c r="J299" i="9"/>
  <c r="K299" i="9"/>
  <c r="M299" i="9"/>
  <c r="L299" i="9"/>
  <c r="F300" i="9"/>
  <c r="G300" i="9" s="1"/>
  <c r="H300" i="9"/>
  <c r="I300" i="9"/>
  <c r="J300" i="9"/>
  <c r="K300" i="9"/>
  <c r="M300" i="9"/>
  <c r="L300" i="9"/>
  <c r="F301" i="9"/>
  <c r="G301" i="9" s="1"/>
  <c r="H301" i="9"/>
  <c r="I301" i="9"/>
  <c r="J301" i="9"/>
  <c r="K301" i="9"/>
  <c r="M301" i="9"/>
  <c r="L301" i="9"/>
  <c r="F302" i="9"/>
  <c r="G302" i="9" s="1"/>
  <c r="H302" i="9"/>
  <c r="I302" i="9"/>
  <c r="J302" i="9"/>
  <c r="K302" i="9"/>
  <c r="M302" i="9"/>
  <c r="L302" i="9"/>
  <c r="F303" i="9"/>
  <c r="G303" i="9" s="1"/>
  <c r="H303" i="9"/>
  <c r="I303" i="9"/>
  <c r="J303" i="9"/>
  <c r="K303" i="9"/>
  <c r="M303" i="9"/>
  <c r="L303" i="9"/>
  <c r="F304" i="9"/>
  <c r="G304" i="9" s="1"/>
  <c r="H304" i="9"/>
  <c r="I304" i="9"/>
  <c r="J304" i="9"/>
  <c r="K304" i="9"/>
  <c r="M304" i="9"/>
  <c r="L304" i="9"/>
  <c r="F305" i="9"/>
  <c r="G305" i="9" s="1"/>
  <c r="H305" i="9"/>
  <c r="I305" i="9"/>
  <c r="J305" i="9"/>
  <c r="K305" i="9"/>
  <c r="M305" i="9"/>
  <c r="L305" i="9"/>
  <c r="F306" i="9"/>
  <c r="G306" i="9" s="1"/>
  <c r="H306" i="9"/>
  <c r="I306" i="9"/>
  <c r="J306" i="9"/>
  <c r="K306" i="9"/>
  <c r="M306" i="9"/>
  <c r="L306" i="9"/>
  <c r="F307" i="9"/>
  <c r="G307" i="9" s="1"/>
  <c r="H307" i="9"/>
  <c r="I307" i="9"/>
  <c r="J307" i="9"/>
  <c r="K307" i="9"/>
  <c r="M307" i="9"/>
  <c r="L307" i="9"/>
  <c r="F308" i="9"/>
  <c r="G308" i="9" s="1"/>
  <c r="H308" i="9"/>
  <c r="I308" i="9"/>
  <c r="J308" i="9"/>
  <c r="K308" i="9"/>
  <c r="M308" i="9"/>
  <c r="L308" i="9"/>
  <c r="F309" i="9"/>
  <c r="G309" i="9" s="1"/>
  <c r="H309" i="9"/>
  <c r="I309" i="9"/>
  <c r="J309" i="9"/>
  <c r="K309" i="9"/>
  <c r="M309" i="9"/>
  <c r="L309" i="9"/>
  <c r="F310" i="9"/>
  <c r="G310" i="9" s="1"/>
  <c r="H310" i="9"/>
  <c r="I310" i="9"/>
  <c r="J310" i="9"/>
  <c r="K310" i="9"/>
  <c r="M310" i="9"/>
  <c r="L310" i="9"/>
  <c r="F311" i="9"/>
  <c r="G311" i="9" s="1"/>
  <c r="H311" i="9"/>
  <c r="I311" i="9"/>
  <c r="J311" i="9"/>
  <c r="K311" i="9"/>
  <c r="M311" i="9"/>
  <c r="L311" i="9"/>
  <c r="F312" i="9"/>
  <c r="G312" i="9" s="1"/>
  <c r="H312" i="9"/>
  <c r="I312" i="9"/>
  <c r="J312" i="9"/>
  <c r="K312" i="9"/>
  <c r="M312" i="9"/>
  <c r="L312" i="9"/>
  <c r="F313" i="9"/>
  <c r="G313" i="9" s="1"/>
  <c r="H313" i="9"/>
  <c r="I313" i="9"/>
  <c r="J313" i="9"/>
  <c r="K313" i="9"/>
  <c r="M313" i="9"/>
  <c r="L313" i="9"/>
  <c r="F314" i="9"/>
  <c r="G314" i="9" s="1"/>
  <c r="H314" i="9"/>
  <c r="I314" i="9"/>
  <c r="J314" i="9"/>
  <c r="K314" i="9"/>
  <c r="M314" i="9"/>
  <c r="L314" i="9"/>
  <c r="F315" i="9"/>
  <c r="G315" i="9" s="1"/>
  <c r="H315" i="9"/>
  <c r="I315" i="9"/>
  <c r="J315" i="9"/>
  <c r="K315" i="9"/>
  <c r="M315" i="9"/>
  <c r="L315" i="9"/>
  <c r="F316" i="9"/>
  <c r="G316" i="9" s="1"/>
  <c r="H316" i="9"/>
  <c r="I316" i="9"/>
  <c r="J316" i="9"/>
  <c r="K316" i="9"/>
  <c r="M316" i="9"/>
  <c r="L316" i="9"/>
  <c r="F317" i="9"/>
  <c r="G317" i="9" s="1"/>
  <c r="H317" i="9"/>
  <c r="I317" i="9"/>
  <c r="J317" i="9"/>
  <c r="K317" i="9"/>
  <c r="M317" i="9"/>
  <c r="L317" i="9"/>
  <c r="F318" i="9"/>
  <c r="G318" i="9" s="1"/>
  <c r="H318" i="9"/>
  <c r="I318" i="9"/>
  <c r="J318" i="9"/>
  <c r="K318" i="9"/>
  <c r="M318" i="9"/>
  <c r="L318" i="9"/>
  <c r="F319" i="9"/>
  <c r="G319" i="9" s="1"/>
  <c r="H319" i="9"/>
  <c r="I319" i="9"/>
  <c r="J319" i="9"/>
  <c r="K319" i="9"/>
  <c r="M319" i="9"/>
  <c r="L319" i="9"/>
  <c r="F320" i="9"/>
  <c r="G320" i="9" s="1"/>
  <c r="H320" i="9"/>
  <c r="I320" i="9"/>
  <c r="J320" i="9"/>
  <c r="K320" i="9"/>
  <c r="M320" i="9"/>
  <c r="L320" i="9"/>
  <c r="F321" i="9"/>
  <c r="G321" i="9" s="1"/>
  <c r="H321" i="9"/>
  <c r="I321" i="9"/>
  <c r="J321" i="9"/>
  <c r="K321" i="9"/>
  <c r="M321" i="9"/>
  <c r="L321" i="9"/>
  <c r="F322" i="9"/>
  <c r="G322" i="9" s="1"/>
  <c r="H322" i="9"/>
  <c r="I322" i="9"/>
  <c r="J322" i="9"/>
  <c r="K322" i="9"/>
  <c r="M322" i="9"/>
  <c r="L322" i="9"/>
  <c r="F323" i="9"/>
  <c r="G323" i="9" s="1"/>
  <c r="H323" i="9"/>
  <c r="I323" i="9"/>
  <c r="J323" i="9"/>
  <c r="K323" i="9"/>
  <c r="M323" i="9"/>
  <c r="L323" i="9"/>
  <c r="F324" i="9"/>
  <c r="G324" i="9" s="1"/>
  <c r="H324" i="9"/>
  <c r="I324" i="9"/>
  <c r="J324" i="9"/>
  <c r="K324" i="9"/>
  <c r="M324" i="9"/>
  <c r="L324" i="9"/>
  <c r="F325" i="9"/>
  <c r="G325" i="9" s="1"/>
  <c r="H325" i="9"/>
  <c r="I325" i="9"/>
  <c r="J325" i="9"/>
  <c r="K325" i="9"/>
  <c r="M325" i="9"/>
  <c r="L325" i="9"/>
  <c r="F326" i="9"/>
  <c r="G326" i="9" s="1"/>
  <c r="H326" i="9"/>
  <c r="I326" i="9"/>
  <c r="J326" i="9"/>
  <c r="K326" i="9"/>
  <c r="M326" i="9"/>
  <c r="L326" i="9"/>
  <c r="F327" i="9"/>
  <c r="G327" i="9" s="1"/>
  <c r="H327" i="9"/>
  <c r="I327" i="9"/>
  <c r="J327" i="9"/>
  <c r="K327" i="9"/>
  <c r="M327" i="9"/>
  <c r="L327" i="9"/>
  <c r="F328" i="9"/>
  <c r="G328" i="9" s="1"/>
  <c r="H328" i="9"/>
  <c r="I328" i="9"/>
  <c r="J328" i="9"/>
  <c r="K328" i="9"/>
  <c r="M328" i="9"/>
  <c r="L328" i="9"/>
  <c r="F329" i="9"/>
  <c r="G329" i="9" s="1"/>
  <c r="H329" i="9"/>
  <c r="I329" i="9"/>
  <c r="J329" i="9"/>
  <c r="K329" i="9"/>
  <c r="M329" i="9"/>
  <c r="L329" i="9"/>
  <c r="F330" i="9"/>
  <c r="G330" i="9" s="1"/>
  <c r="H330" i="9"/>
  <c r="I330" i="9"/>
  <c r="J330" i="9"/>
  <c r="K330" i="9"/>
  <c r="M330" i="9"/>
  <c r="L330" i="9"/>
  <c r="F331" i="9"/>
  <c r="G331" i="9" s="1"/>
  <c r="H331" i="9"/>
  <c r="I331" i="9"/>
  <c r="J331" i="9"/>
  <c r="K331" i="9"/>
  <c r="M331" i="9"/>
  <c r="L331" i="9"/>
  <c r="F332" i="9"/>
  <c r="G332" i="9" s="1"/>
  <c r="H332" i="9"/>
  <c r="I332" i="9"/>
  <c r="J332" i="9"/>
  <c r="K332" i="9"/>
  <c r="M332" i="9"/>
  <c r="L332" i="9"/>
  <c r="F333" i="9"/>
  <c r="G333" i="9" s="1"/>
  <c r="H333" i="9"/>
  <c r="I333" i="9"/>
  <c r="J333" i="9"/>
  <c r="K333" i="9"/>
  <c r="M333" i="9"/>
  <c r="L333" i="9"/>
  <c r="F334" i="9"/>
  <c r="G334" i="9" s="1"/>
  <c r="H334" i="9"/>
  <c r="I334" i="9"/>
  <c r="J334" i="9"/>
  <c r="K334" i="9"/>
  <c r="M334" i="9"/>
  <c r="L334" i="9"/>
  <c r="F335" i="9"/>
  <c r="G335" i="9" s="1"/>
  <c r="H335" i="9"/>
  <c r="I335" i="9"/>
  <c r="J335" i="9"/>
  <c r="K335" i="9"/>
  <c r="M335" i="9"/>
  <c r="L335" i="9"/>
  <c r="F336" i="9"/>
  <c r="G336" i="9" s="1"/>
  <c r="H336" i="9"/>
  <c r="I336" i="9"/>
  <c r="J336" i="9"/>
  <c r="K336" i="9"/>
  <c r="M336" i="9"/>
  <c r="L336" i="9"/>
  <c r="F337" i="9"/>
  <c r="G337" i="9" s="1"/>
  <c r="H337" i="9"/>
  <c r="I337" i="9"/>
  <c r="J337" i="9"/>
  <c r="K337" i="9"/>
  <c r="M337" i="9"/>
  <c r="L337" i="9"/>
  <c r="F338" i="9"/>
  <c r="G338" i="9" s="1"/>
  <c r="H338" i="9"/>
  <c r="I338" i="9"/>
  <c r="J338" i="9"/>
  <c r="K338" i="9"/>
  <c r="M338" i="9"/>
  <c r="L338" i="9"/>
  <c r="F339" i="9"/>
  <c r="G339" i="9" s="1"/>
  <c r="H339" i="9"/>
  <c r="I339" i="9"/>
  <c r="J339" i="9"/>
  <c r="K339" i="9"/>
  <c r="M339" i="9"/>
  <c r="L339" i="9"/>
  <c r="F340" i="9"/>
  <c r="G340" i="9" s="1"/>
  <c r="H340" i="9"/>
  <c r="I340" i="9"/>
  <c r="J340" i="9"/>
  <c r="K340" i="9"/>
  <c r="M340" i="9"/>
  <c r="L340" i="9"/>
  <c r="F341" i="9"/>
  <c r="G341" i="9" s="1"/>
  <c r="H341" i="9"/>
  <c r="I341" i="9"/>
  <c r="J341" i="9"/>
  <c r="K341" i="9"/>
  <c r="M341" i="9"/>
  <c r="L341" i="9"/>
  <c r="F342" i="9"/>
  <c r="G342" i="9" s="1"/>
  <c r="H342" i="9"/>
  <c r="I342" i="9"/>
  <c r="J342" i="9"/>
  <c r="K342" i="9"/>
  <c r="M342" i="9"/>
  <c r="L342" i="9"/>
  <c r="F343" i="9"/>
  <c r="G343" i="9" s="1"/>
  <c r="H343" i="9"/>
  <c r="I343" i="9"/>
  <c r="J343" i="9"/>
  <c r="K343" i="9"/>
  <c r="M343" i="9"/>
  <c r="L343" i="9"/>
  <c r="F344" i="9"/>
  <c r="G344" i="9" s="1"/>
  <c r="H344" i="9"/>
  <c r="I344" i="9"/>
  <c r="J344" i="9"/>
  <c r="K344" i="9"/>
  <c r="M344" i="9"/>
  <c r="L344" i="9"/>
  <c r="F345" i="9"/>
  <c r="G345" i="9" s="1"/>
  <c r="H345" i="9"/>
  <c r="I345" i="9"/>
  <c r="J345" i="9"/>
  <c r="K345" i="9"/>
  <c r="M345" i="9"/>
  <c r="L345" i="9"/>
  <c r="F346" i="9"/>
  <c r="G346" i="9" s="1"/>
  <c r="H346" i="9"/>
  <c r="I346" i="9"/>
  <c r="J346" i="9"/>
  <c r="K346" i="9"/>
  <c r="M346" i="9"/>
  <c r="L346" i="9"/>
  <c r="F347" i="9"/>
  <c r="G347" i="9" s="1"/>
  <c r="H347" i="9"/>
  <c r="I347" i="9"/>
  <c r="J347" i="9"/>
  <c r="K347" i="9"/>
  <c r="M347" i="9"/>
  <c r="L347" i="9"/>
  <c r="F348" i="9"/>
  <c r="G348" i="9" s="1"/>
  <c r="H348" i="9"/>
  <c r="I348" i="9"/>
  <c r="J348" i="9"/>
  <c r="K348" i="9"/>
  <c r="M348" i="9"/>
  <c r="L348" i="9"/>
  <c r="F349" i="9"/>
  <c r="G349" i="9" s="1"/>
  <c r="H349" i="9"/>
  <c r="I349" i="9"/>
  <c r="J349" i="9"/>
  <c r="K349" i="9"/>
  <c r="M349" i="9"/>
  <c r="L349" i="9"/>
  <c r="F350" i="9"/>
  <c r="G350" i="9" s="1"/>
  <c r="H350" i="9"/>
  <c r="I350" i="9"/>
  <c r="J350" i="9"/>
  <c r="K350" i="9"/>
  <c r="M350" i="9"/>
  <c r="L350" i="9"/>
  <c r="F351" i="9"/>
  <c r="G351" i="9" s="1"/>
  <c r="H351" i="9"/>
  <c r="I351" i="9"/>
  <c r="J351" i="9"/>
  <c r="K351" i="9"/>
  <c r="M351" i="9"/>
  <c r="L351" i="9"/>
  <c r="F352" i="9"/>
  <c r="G352" i="9" s="1"/>
  <c r="H352" i="9"/>
  <c r="I352" i="9"/>
  <c r="J352" i="9"/>
  <c r="K352" i="9"/>
  <c r="M352" i="9"/>
  <c r="L352" i="9"/>
  <c r="F353" i="9"/>
  <c r="G353" i="9" s="1"/>
  <c r="H353" i="9"/>
  <c r="I353" i="9"/>
  <c r="J353" i="9"/>
  <c r="K353" i="9"/>
  <c r="M353" i="9"/>
  <c r="L353" i="9"/>
  <c r="F354" i="9"/>
  <c r="G354" i="9" s="1"/>
  <c r="H354" i="9"/>
  <c r="I354" i="9"/>
  <c r="J354" i="9"/>
  <c r="K354" i="9"/>
  <c r="M354" i="9"/>
  <c r="L354" i="9"/>
  <c r="F355" i="9"/>
  <c r="G355" i="9" s="1"/>
  <c r="H355" i="9"/>
  <c r="I355" i="9"/>
  <c r="J355" i="9"/>
  <c r="K355" i="9"/>
  <c r="M355" i="9"/>
  <c r="L355" i="9"/>
  <c r="F356" i="9"/>
  <c r="G356" i="9" s="1"/>
  <c r="H356" i="9"/>
  <c r="I356" i="9"/>
  <c r="J356" i="9"/>
  <c r="K356" i="9"/>
  <c r="M356" i="9"/>
  <c r="L356" i="9"/>
  <c r="F357" i="9"/>
  <c r="G357" i="9" s="1"/>
  <c r="H357" i="9"/>
  <c r="I357" i="9"/>
  <c r="J357" i="9"/>
  <c r="K357" i="9"/>
  <c r="M357" i="9"/>
  <c r="L357" i="9"/>
  <c r="F358" i="9"/>
  <c r="G358" i="9" s="1"/>
  <c r="H358" i="9"/>
  <c r="I358" i="9"/>
  <c r="J358" i="9"/>
  <c r="K358" i="9"/>
  <c r="M358" i="9"/>
  <c r="L358" i="9"/>
  <c r="F359" i="9"/>
  <c r="G359" i="9" s="1"/>
  <c r="H359" i="9"/>
  <c r="I359" i="9"/>
  <c r="J359" i="9"/>
  <c r="K359" i="9"/>
  <c r="M359" i="9"/>
  <c r="L359" i="9"/>
  <c r="F360" i="9"/>
  <c r="G360" i="9" s="1"/>
  <c r="H360" i="9"/>
  <c r="I360" i="9"/>
  <c r="J360" i="9"/>
  <c r="K360" i="9"/>
  <c r="M360" i="9"/>
  <c r="L360" i="9"/>
  <c r="F361" i="9"/>
  <c r="G361" i="9" s="1"/>
  <c r="H361" i="9"/>
  <c r="I361" i="9"/>
  <c r="J361" i="9"/>
  <c r="K361" i="9"/>
  <c r="M361" i="9"/>
  <c r="L361" i="9"/>
  <c r="F362" i="9"/>
  <c r="G362" i="9" s="1"/>
  <c r="H362" i="9"/>
  <c r="I362" i="9"/>
  <c r="J362" i="9"/>
  <c r="K362" i="9"/>
  <c r="M362" i="9"/>
  <c r="L362" i="9"/>
  <c r="F363" i="9"/>
  <c r="G363" i="9" s="1"/>
  <c r="H363" i="9"/>
  <c r="I363" i="9"/>
  <c r="J363" i="9"/>
  <c r="K363" i="9"/>
  <c r="M363" i="9"/>
  <c r="L363" i="9"/>
  <c r="F364" i="9"/>
  <c r="G364" i="9" s="1"/>
  <c r="H364" i="9"/>
  <c r="I364" i="9"/>
  <c r="J364" i="9"/>
  <c r="K364" i="9"/>
  <c r="M364" i="9"/>
  <c r="L364" i="9"/>
  <c r="F365" i="9"/>
  <c r="G365" i="9" s="1"/>
  <c r="H365" i="9"/>
  <c r="I365" i="9"/>
  <c r="J365" i="9"/>
  <c r="K365" i="9"/>
  <c r="M365" i="9"/>
  <c r="L365" i="9"/>
  <c r="F366" i="9"/>
  <c r="G366" i="9" s="1"/>
  <c r="H366" i="9"/>
  <c r="I366" i="9"/>
  <c r="J366" i="9"/>
  <c r="K366" i="9"/>
  <c r="M366" i="9"/>
  <c r="L366" i="9"/>
  <c r="F367" i="9"/>
  <c r="G367" i="9" s="1"/>
  <c r="H367" i="9"/>
  <c r="I367" i="9"/>
  <c r="J367" i="9"/>
  <c r="K367" i="9"/>
  <c r="M367" i="9"/>
  <c r="L367" i="9"/>
  <c r="F368" i="9"/>
  <c r="G368" i="9" s="1"/>
  <c r="H368" i="9"/>
  <c r="I368" i="9"/>
  <c r="J368" i="9"/>
  <c r="K368" i="9"/>
  <c r="M368" i="9"/>
  <c r="L368" i="9"/>
  <c r="F369" i="9"/>
  <c r="G369" i="9" s="1"/>
  <c r="H369" i="9"/>
  <c r="I369" i="9"/>
  <c r="J369" i="9"/>
  <c r="K369" i="9"/>
  <c r="M369" i="9"/>
  <c r="L369" i="9"/>
  <c r="F370" i="9"/>
  <c r="G370" i="9" s="1"/>
  <c r="H370" i="9"/>
  <c r="I370" i="9"/>
  <c r="J370" i="9"/>
  <c r="K370" i="9"/>
  <c r="M370" i="9"/>
  <c r="L370" i="9"/>
  <c r="F371" i="9"/>
  <c r="G371" i="9" s="1"/>
  <c r="H371" i="9"/>
  <c r="I371" i="9"/>
  <c r="J371" i="9"/>
  <c r="K371" i="9"/>
  <c r="M371" i="9"/>
  <c r="L371" i="9"/>
  <c r="F372" i="9"/>
  <c r="G372" i="9" s="1"/>
  <c r="H372" i="9"/>
  <c r="I372" i="9"/>
  <c r="J372" i="9"/>
  <c r="K372" i="9"/>
  <c r="M372" i="9"/>
  <c r="L372" i="9"/>
  <c r="F373" i="9"/>
  <c r="G373" i="9" s="1"/>
  <c r="H373" i="9"/>
  <c r="I373" i="9"/>
  <c r="J373" i="9"/>
  <c r="K373" i="9"/>
  <c r="M373" i="9"/>
  <c r="L373" i="9"/>
  <c r="F374" i="9"/>
  <c r="G374" i="9" s="1"/>
  <c r="H374" i="9"/>
  <c r="I374" i="9"/>
  <c r="J374" i="9"/>
  <c r="K374" i="9"/>
  <c r="M374" i="9"/>
  <c r="L374" i="9"/>
  <c r="F375" i="9"/>
  <c r="G375" i="9" s="1"/>
  <c r="H375" i="9"/>
  <c r="I375" i="9"/>
  <c r="J375" i="9"/>
  <c r="K375" i="9"/>
  <c r="M375" i="9"/>
  <c r="L375" i="9"/>
  <c r="F376" i="9"/>
  <c r="G376" i="9" s="1"/>
  <c r="H376" i="9"/>
  <c r="I376" i="9"/>
  <c r="J376" i="9"/>
  <c r="K376" i="9"/>
  <c r="M376" i="9"/>
  <c r="L376" i="9"/>
  <c r="F377" i="9"/>
  <c r="G377" i="9" s="1"/>
  <c r="H377" i="9"/>
  <c r="I377" i="9"/>
  <c r="J377" i="9"/>
  <c r="K377" i="9"/>
  <c r="M377" i="9"/>
  <c r="L377" i="9"/>
  <c r="F378" i="9"/>
  <c r="G378" i="9" s="1"/>
  <c r="H378" i="9"/>
  <c r="I378" i="9"/>
  <c r="J378" i="9"/>
  <c r="K378" i="9"/>
  <c r="M378" i="9"/>
  <c r="L378" i="9"/>
  <c r="F379" i="9"/>
  <c r="G379" i="9" s="1"/>
  <c r="H379" i="9"/>
  <c r="I379" i="9"/>
  <c r="J379" i="9"/>
  <c r="K379" i="9"/>
  <c r="M379" i="9"/>
  <c r="L379" i="9"/>
  <c r="F380" i="9"/>
  <c r="G380" i="9" s="1"/>
  <c r="H380" i="9"/>
  <c r="I380" i="9"/>
  <c r="J380" i="9"/>
  <c r="K380" i="9"/>
  <c r="M380" i="9"/>
  <c r="L380" i="9"/>
  <c r="F381" i="9"/>
  <c r="G381" i="9" s="1"/>
  <c r="H381" i="9"/>
  <c r="I381" i="9"/>
  <c r="J381" i="9"/>
  <c r="K381" i="9"/>
  <c r="M381" i="9"/>
  <c r="L381" i="9"/>
  <c r="F382" i="9"/>
  <c r="G382" i="9" s="1"/>
  <c r="H382" i="9"/>
  <c r="I382" i="9"/>
  <c r="J382" i="9"/>
  <c r="K382" i="9"/>
  <c r="M382" i="9"/>
  <c r="L382" i="9"/>
  <c r="F383" i="9"/>
  <c r="G383" i="9" s="1"/>
  <c r="H383" i="9"/>
  <c r="I383" i="9"/>
  <c r="J383" i="9"/>
  <c r="K383" i="9"/>
  <c r="M383" i="9"/>
  <c r="L383" i="9"/>
  <c r="F384" i="9"/>
  <c r="G384" i="9" s="1"/>
  <c r="H384" i="9"/>
  <c r="I384" i="9"/>
  <c r="J384" i="9"/>
  <c r="K384" i="9"/>
  <c r="M384" i="9"/>
  <c r="L384" i="9"/>
  <c r="F385" i="9"/>
  <c r="G385" i="9" s="1"/>
  <c r="H385" i="9"/>
  <c r="I385" i="9"/>
  <c r="J385" i="9"/>
  <c r="K385" i="9"/>
  <c r="M385" i="9"/>
  <c r="L385" i="9"/>
  <c r="F386" i="9"/>
  <c r="G386" i="9" s="1"/>
  <c r="H386" i="9"/>
  <c r="I386" i="9"/>
  <c r="J386" i="9"/>
  <c r="K386" i="9"/>
  <c r="M386" i="9"/>
  <c r="L386" i="9"/>
  <c r="F387" i="9"/>
  <c r="G387" i="9" s="1"/>
  <c r="H387" i="9"/>
  <c r="I387" i="9"/>
  <c r="J387" i="9"/>
  <c r="K387" i="9"/>
  <c r="M387" i="9"/>
  <c r="L387" i="9"/>
  <c r="F388" i="9"/>
  <c r="G388" i="9" s="1"/>
  <c r="H388" i="9"/>
  <c r="I388" i="9"/>
  <c r="J388" i="9"/>
  <c r="K388" i="9"/>
  <c r="M388" i="9"/>
  <c r="L388" i="9"/>
  <c r="F389" i="9"/>
  <c r="G389" i="9" s="1"/>
  <c r="H389" i="9"/>
  <c r="I389" i="9"/>
  <c r="J389" i="9"/>
  <c r="K389" i="9"/>
  <c r="M389" i="9"/>
  <c r="L389" i="9"/>
  <c r="F390" i="9"/>
  <c r="G390" i="9" s="1"/>
  <c r="H390" i="9"/>
  <c r="I390" i="9"/>
  <c r="J390" i="9"/>
  <c r="K390" i="9"/>
  <c r="M390" i="9"/>
  <c r="L390" i="9"/>
  <c r="F391" i="9"/>
  <c r="G391" i="9" s="1"/>
  <c r="H391" i="9"/>
  <c r="I391" i="9"/>
  <c r="J391" i="9"/>
  <c r="K391" i="9"/>
  <c r="M391" i="9"/>
  <c r="L391" i="9"/>
  <c r="F392" i="9"/>
  <c r="G392" i="9" s="1"/>
  <c r="H392" i="9"/>
  <c r="I392" i="9"/>
  <c r="J392" i="9"/>
  <c r="K392" i="9"/>
  <c r="M392" i="9"/>
  <c r="L392" i="9"/>
  <c r="F393" i="9"/>
  <c r="G393" i="9" s="1"/>
  <c r="H393" i="9"/>
  <c r="I393" i="9"/>
  <c r="J393" i="9"/>
  <c r="K393" i="9"/>
  <c r="M393" i="9"/>
  <c r="L393" i="9"/>
  <c r="F394" i="9"/>
  <c r="G394" i="9" s="1"/>
  <c r="H394" i="9"/>
  <c r="I394" i="9"/>
  <c r="J394" i="9"/>
  <c r="K394" i="9"/>
  <c r="M394" i="9"/>
  <c r="L394" i="9"/>
  <c r="F395" i="9"/>
  <c r="G395" i="9" s="1"/>
  <c r="H395" i="9"/>
  <c r="I395" i="9"/>
  <c r="J395" i="9"/>
  <c r="K395" i="9"/>
  <c r="M395" i="9"/>
  <c r="L395" i="9"/>
  <c r="F396" i="9"/>
  <c r="G396" i="9" s="1"/>
  <c r="H396" i="9"/>
  <c r="I396" i="9"/>
  <c r="J396" i="9"/>
  <c r="K396" i="9"/>
  <c r="M396" i="9"/>
  <c r="L396" i="9"/>
  <c r="F397" i="9"/>
  <c r="G397" i="9" s="1"/>
  <c r="H397" i="9"/>
  <c r="I397" i="9"/>
  <c r="J397" i="9"/>
  <c r="K397" i="9"/>
  <c r="M397" i="9"/>
  <c r="L397" i="9"/>
  <c r="F398" i="9"/>
  <c r="G398" i="9" s="1"/>
  <c r="H398" i="9"/>
  <c r="I398" i="9"/>
  <c r="J398" i="9"/>
  <c r="K398" i="9"/>
  <c r="M398" i="9"/>
  <c r="L398" i="9"/>
  <c r="F399" i="9"/>
  <c r="G399" i="9" s="1"/>
  <c r="H399" i="9"/>
  <c r="I399" i="9"/>
  <c r="J399" i="9"/>
  <c r="K399" i="9"/>
  <c r="M399" i="9"/>
  <c r="L399" i="9"/>
  <c r="F400" i="9"/>
  <c r="G400" i="9" s="1"/>
  <c r="H400" i="9"/>
  <c r="I400" i="9"/>
  <c r="J400" i="9"/>
  <c r="K400" i="9"/>
  <c r="M400" i="9"/>
  <c r="L400" i="9"/>
  <c r="F401" i="9"/>
  <c r="G401" i="9" s="1"/>
  <c r="H401" i="9"/>
  <c r="I401" i="9"/>
  <c r="J401" i="9"/>
  <c r="K401" i="9"/>
  <c r="M401" i="9"/>
  <c r="L401" i="9"/>
  <c r="F402" i="9"/>
  <c r="G402" i="9" s="1"/>
  <c r="H402" i="9"/>
  <c r="I402" i="9"/>
  <c r="J402" i="9"/>
  <c r="K402" i="9"/>
  <c r="M402" i="9"/>
  <c r="L402" i="9"/>
  <c r="F403" i="9"/>
  <c r="G403" i="9" s="1"/>
  <c r="H403" i="9"/>
  <c r="I403" i="9"/>
  <c r="J403" i="9"/>
  <c r="K403" i="9"/>
  <c r="M403" i="9"/>
  <c r="L403" i="9"/>
  <c r="F404" i="9"/>
  <c r="G404" i="9" s="1"/>
  <c r="H404" i="9"/>
  <c r="I404" i="9"/>
  <c r="J404" i="9"/>
  <c r="K404" i="9"/>
  <c r="M404" i="9"/>
  <c r="L404" i="9"/>
  <c r="F405" i="9"/>
  <c r="G405" i="9" s="1"/>
  <c r="H405" i="9"/>
  <c r="I405" i="9"/>
  <c r="J405" i="9"/>
  <c r="K405" i="9"/>
  <c r="M405" i="9"/>
  <c r="L405" i="9"/>
  <c r="F406" i="9"/>
  <c r="G406" i="9" s="1"/>
  <c r="H406" i="9"/>
  <c r="I406" i="9"/>
  <c r="J406" i="9"/>
  <c r="K406" i="9"/>
  <c r="M406" i="9"/>
  <c r="L406" i="9"/>
  <c r="F407" i="9"/>
  <c r="G407" i="9" s="1"/>
  <c r="H407" i="9"/>
  <c r="I407" i="9"/>
  <c r="J407" i="9"/>
  <c r="K407" i="9"/>
  <c r="M407" i="9"/>
  <c r="L407" i="9"/>
  <c r="F408" i="9"/>
  <c r="G408" i="9" s="1"/>
  <c r="H408" i="9"/>
  <c r="I408" i="9"/>
  <c r="J408" i="9"/>
  <c r="K408" i="9"/>
  <c r="M408" i="9"/>
  <c r="L408" i="9"/>
  <c r="L241" i="9"/>
  <c r="M241" i="9"/>
  <c r="K241" i="9"/>
  <c r="J241" i="9"/>
  <c r="I241" i="9"/>
  <c r="H241" i="9"/>
  <c r="F241" i="9"/>
  <c r="G241" i="9" s="1"/>
  <c r="F102" i="9"/>
  <c r="G102" i="9" s="1"/>
  <c r="H102" i="9"/>
  <c r="I102" i="9"/>
  <c r="J102" i="9"/>
  <c r="K102" i="9"/>
  <c r="M102" i="9"/>
  <c r="L102" i="9"/>
  <c r="F103" i="9"/>
  <c r="G103" i="9" s="1"/>
  <c r="H103" i="9"/>
  <c r="I103" i="9"/>
  <c r="J103" i="9"/>
  <c r="K103" i="9"/>
  <c r="M103" i="9"/>
  <c r="L103" i="9"/>
  <c r="F104" i="9"/>
  <c r="G104" i="9" s="1"/>
  <c r="H104" i="9"/>
  <c r="I104" i="9"/>
  <c r="J104" i="9"/>
  <c r="K104" i="9"/>
  <c r="M104" i="9"/>
  <c r="L104" i="9"/>
  <c r="F105" i="9"/>
  <c r="G105" i="9" s="1"/>
  <c r="H105" i="9"/>
  <c r="I105" i="9"/>
  <c r="J105" i="9"/>
  <c r="K105" i="9"/>
  <c r="M105" i="9"/>
  <c r="L105" i="9"/>
  <c r="F106" i="9"/>
  <c r="G106" i="9" s="1"/>
  <c r="H106" i="9"/>
  <c r="I106" i="9"/>
  <c r="J106" i="9"/>
  <c r="K106" i="9"/>
  <c r="M106" i="9"/>
  <c r="L106" i="9"/>
  <c r="F107" i="9"/>
  <c r="G107" i="9" s="1"/>
  <c r="H107" i="9"/>
  <c r="I107" i="9"/>
  <c r="J107" i="9"/>
  <c r="K107" i="9"/>
  <c r="M107" i="9"/>
  <c r="L107" i="9"/>
  <c r="F108" i="9"/>
  <c r="G108" i="9" s="1"/>
  <c r="H108" i="9"/>
  <c r="I108" i="9"/>
  <c r="J108" i="9"/>
  <c r="K108" i="9"/>
  <c r="M108" i="9"/>
  <c r="L108" i="9"/>
  <c r="F109" i="9"/>
  <c r="G109" i="9" s="1"/>
  <c r="H109" i="9"/>
  <c r="I109" i="9"/>
  <c r="J109" i="9"/>
  <c r="K109" i="9"/>
  <c r="M109" i="9"/>
  <c r="L109" i="9"/>
  <c r="F110" i="9"/>
  <c r="G110" i="9" s="1"/>
  <c r="H110" i="9"/>
  <c r="I110" i="9"/>
  <c r="J110" i="9"/>
  <c r="K110" i="9"/>
  <c r="M110" i="9"/>
  <c r="L110" i="9"/>
  <c r="F111" i="9"/>
  <c r="G111" i="9" s="1"/>
  <c r="H111" i="9"/>
  <c r="I111" i="9"/>
  <c r="J111" i="9"/>
  <c r="K111" i="9"/>
  <c r="M111" i="9"/>
  <c r="L111" i="9"/>
  <c r="F112" i="9"/>
  <c r="G112" i="9" s="1"/>
  <c r="H112" i="9"/>
  <c r="I112" i="9"/>
  <c r="J112" i="9"/>
  <c r="K112" i="9"/>
  <c r="M112" i="9"/>
  <c r="L112" i="9"/>
  <c r="F113" i="9"/>
  <c r="G113" i="9" s="1"/>
  <c r="H113" i="9"/>
  <c r="I113" i="9"/>
  <c r="J113" i="9"/>
  <c r="K113" i="9"/>
  <c r="M113" i="9"/>
  <c r="L113" i="9"/>
  <c r="F114" i="9"/>
  <c r="G114" i="9" s="1"/>
  <c r="H114" i="9"/>
  <c r="I114" i="9"/>
  <c r="J114" i="9"/>
  <c r="K114" i="9"/>
  <c r="M114" i="9"/>
  <c r="L114" i="9"/>
  <c r="F115" i="9"/>
  <c r="G115" i="9" s="1"/>
  <c r="H115" i="9"/>
  <c r="I115" i="9"/>
  <c r="J115" i="9"/>
  <c r="K115" i="9"/>
  <c r="M115" i="9"/>
  <c r="L115" i="9"/>
  <c r="F116" i="9"/>
  <c r="G116" i="9" s="1"/>
  <c r="H116" i="9"/>
  <c r="I116" i="9"/>
  <c r="J116" i="9"/>
  <c r="K116" i="9"/>
  <c r="M116" i="9"/>
  <c r="L116" i="9"/>
  <c r="F117" i="9"/>
  <c r="G117" i="9" s="1"/>
  <c r="H117" i="9"/>
  <c r="I117" i="9"/>
  <c r="J117" i="9"/>
  <c r="K117" i="9"/>
  <c r="M117" i="9"/>
  <c r="L117" i="9"/>
  <c r="F118" i="9"/>
  <c r="G118" i="9" s="1"/>
  <c r="H118" i="9"/>
  <c r="I118" i="9"/>
  <c r="J118" i="9"/>
  <c r="K118" i="9"/>
  <c r="M118" i="9"/>
  <c r="L118" i="9"/>
  <c r="F119" i="9"/>
  <c r="G119" i="9" s="1"/>
  <c r="H119" i="9"/>
  <c r="I119" i="9"/>
  <c r="J119" i="9"/>
  <c r="K119" i="9"/>
  <c r="M119" i="9"/>
  <c r="L119" i="9"/>
  <c r="F120" i="9"/>
  <c r="G120" i="9" s="1"/>
  <c r="H120" i="9"/>
  <c r="I120" i="9"/>
  <c r="J120" i="9"/>
  <c r="K120" i="9"/>
  <c r="M120" i="9"/>
  <c r="L120" i="9"/>
  <c r="F121" i="9"/>
  <c r="G121" i="9" s="1"/>
  <c r="H121" i="9"/>
  <c r="I121" i="9"/>
  <c r="J121" i="9"/>
  <c r="K121" i="9"/>
  <c r="M121" i="9"/>
  <c r="L121" i="9"/>
  <c r="F122" i="9"/>
  <c r="G122" i="9" s="1"/>
  <c r="H122" i="9"/>
  <c r="I122" i="9"/>
  <c r="J122" i="9"/>
  <c r="K122" i="9"/>
  <c r="M122" i="9"/>
  <c r="L122" i="9"/>
  <c r="F123" i="9"/>
  <c r="G123" i="9" s="1"/>
  <c r="H123" i="9"/>
  <c r="I123" i="9"/>
  <c r="J123" i="9"/>
  <c r="K123" i="9"/>
  <c r="M123" i="9"/>
  <c r="L123" i="9"/>
  <c r="F124" i="9"/>
  <c r="G124" i="9" s="1"/>
  <c r="H124" i="9"/>
  <c r="I124" i="9"/>
  <c r="J124" i="9"/>
  <c r="K124" i="9"/>
  <c r="M124" i="9"/>
  <c r="L124" i="9"/>
  <c r="F125" i="9"/>
  <c r="G125" i="9" s="1"/>
  <c r="H125" i="9"/>
  <c r="I125" i="9"/>
  <c r="J125" i="9"/>
  <c r="K125" i="9"/>
  <c r="M125" i="9"/>
  <c r="L125" i="9"/>
  <c r="F126" i="9"/>
  <c r="G126" i="9" s="1"/>
  <c r="H126" i="9"/>
  <c r="I126" i="9"/>
  <c r="J126" i="9"/>
  <c r="K126" i="9"/>
  <c r="M126" i="9"/>
  <c r="L126" i="9"/>
  <c r="F127" i="9"/>
  <c r="G127" i="9" s="1"/>
  <c r="H127" i="9"/>
  <c r="I127" i="9"/>
  <c r="J127" i="9"/>
  <c r="K127" i="9"/>
  <c r="M127" i="9"/>
  <c r="L127" i="9"/>
  <c r="F128" i="9"/>
  <c r="G128" i="9" s="1"/>
  <c r="H128" i="9"/>
  <c r="I128" i="9"/>
  <c r="J128" i="9"/>
  <c r="K128" i="9"/>
  <c r="M128" i="9"/>
  <c r="L128" i="9"/>
  <c r="F129" i="9"/>
  <c r="G129" i="9" s="1"/>
  <c r="H129" i="9"/>
  <c r="I129" i="9"/>
  <c r="J129" i="9"/>
  <c r="K129" i="9"/>
  <c r="M129" i="9"/>
  <c r="L129" i="9"/>
  <c r="F130" i="9"/>
  <c r="G130" i="9" s="1"/>
  <c r="H130" i="9"/>
  <c r="I130" i="9"/>
  <c r="J130" i="9"/>
  <c r="K130" i="9"/>
  <c r="M130" i="9"/>
  <c r="L130" i="9"/>
  <c r="F131" i="9"/>
  <c r="G131" i="9" s="1"/>
  <c r="H131" i="9"/>
  <c r="I131" i="9"/>
  <c r="J131" i="9"/>
  <c r="K131" i="9"/>
  <c r="M131" i="9"/>
  <c r="L131" i="9"/>
  <c r="F132" i="9"/>
  <c r="G132" i="9" s="1"/>
  <c r="H132" i="9"/>
  <c r="I132" i="9"/>
  <c r="J132" i="9"/>
  <c r="K132" i="9"/>
  <c r="M132" i="9"/>
  <c r="L132" i="9"/>
  <c r="F133" i="9"/>
  <c r="G133" i="9" s="1"/>
  <c r="H133" i="9"/>
  <c r="I133" i="9"/>
  <c r="J133" i="9"/>
  <c r="K133" i="9"/>
  <c r="M133" i="9"/>
  <c r="L133" i="9"/>
  <c r="F134" i="9"/>
  <c r="G134" i="9" s="1"/>
  <c r="H134" i="9"/>
  <c r="I134" i="9"/>
  <c r="J134" i="9"/>
  <c r="K134" i="9"/>
  <c r="M134" i="9"/>
  <c r="L134" i="9"/>
  <c r="F135" i="9"/>
  <c r="G135" i="9" s="1"/>
  <c r="H135" i="9"/>
  <c r="I135" i="9"/>
  <c r="J135" i="9"/>
  <c r="K135" i="9"/>
  <c r="M135" i="9"/>
  <c r="L135" i="9"/>
  <c r="F136" i="9"/>
  <c r="G136" i="9" s="1"/>
  <c r="H136" i="9"/>
  <c r="I136" i="9"/>
  <c r="J136" i="9"/>
  <c r="K136" i="9"/>
  <c r="M136" i="9"/>
  <c r="L136" i="9"/>
  <c r="F137" i="9"/>
  <c r="G137" i="9" s="1"/>
  <c r="H137" i="9"/>
  <c r="I137" i="9"/>
  <c r="J137" i="9"/>
  <c r="K137" i="9"/>
  <c r="M137" i="9"/>
  <c r="L137" i="9"/>
  <c r="F138" i="9"/>
  <c r="G138" i="9" s="1"/>
  <c r="H138" i="9"/>
  <c r="I138" i="9"/>
  <c r="J138" i="9"/>
  <c r="K138" i="9"/>
  <c r="M138" i="9"/>
  <c r="L138" i="9"/>
  <c r="F139" i="9"/>
  <c r="G139" i="9" s="1"/>
  <c r="H139" i="9"/>
  <c r="I139" i="9"/>
  <c r="J139" i="9"/>
  <c r="K139" i="9"/>
  <c r="M139" i="9"/>
  <c r="L139" i="9"/>
  <c r="F140" i="9"/>
  <c r="G140" i="9" s="1"/>
  <c r="H140" i="9"/>
  <c r="I140" i="9"/>
  <c r="J140" i="9"/>
  <c r="K140" i="9"/>
  <c r="M140" i="9"/>
  <c r="L140" i="9"/>
  <c r="F141" i="9"/>
  <c r="G141" i="9" s="1"/>
  <c r="H141" i="9"/>
  <c r="I141" i="9"/>
  <c r="J141" i="9"/>
  <c r="K141" i="9"/>
  <c r="M141" i="9"/>
  <c r="L141" i="9"/>
  <c r="F142" i="9"/>
  <c r="G142" i="9" s="1"/>
  <c r="H142" i="9"/>
  <c r="I142" i="9"/>
  <c r="J142" i="9"/>
  <c r="K142" i="9"/>
  <c r="M142" i="9"/>
  <c r="L142" i="9"/>
  <c r="F143" i="9"/>
  <c r="G143" i="9" s="1"/>
  <c r="H143" i="9"/>
  <c r="I143" i="9"/>
  <c r="J143" i="9"/>
  <c r="K143" i="9"/>
  <c r="M143" i="9"/>
  <c r="L143" i="9"/>
  <c r="F144" i="9"/>
  <c r="G144" i="9" s="1"/>
  <c r="H144" i="9"/>
  <c r="I144" i="9"/>
  <c r="J144" i="9"/>
  <c r="K144" i="9"/>
  <c r="M144" i="9"/>
  <c r="L144" i="9"/>
  <c r="F145" i="9"/>
  <c r="G145" i="9" s="1"/>
  <c r="H145" i="9"/>
  <c r="I145" i="9"/>
  <c r="J145" i="9"/>
  <c r="K145" i="9"/>
  <c r="M145" i="9"/>
  <c r="L145" i="9"/>
  <c r="F146" i="9"/>
  <c r="G146" i="9" s="1"/>
  <c r="H146" i="9"/>
  <c r="I146" i="9"/>
  <c r="J146" i="9"/>
  <c r="K146" i="9"/>
  <c r="M146" i="9"/>
  <c r="L146" i="9"/>
  <c r="F147" i="9"/>
  <c r="G147" i="9" s="1"/>
  <c r="H147" i="9"/>
  <c r="I147" i="9"/>
  <c r="J147" i="9"/>
  <c r="K147" i="9"/>
  <c r="M147" i="9"/>
  <c r="L147" i="9"/>
  <c r="F148" i="9"/>
  <c r="G148" i="9" s="1"/>
  <c r="H148" i="9"/>
  <c r="I148" i="9"/>
  <c r="J148" i="9"/>
  <c r="K148" i="9"/>
  <c r="M148" i="9"/>
  <c r="L148" i="9"/>
  <c r="F149" i="9"/>
  <c r="G149" i="9" s="1"/>
  <c r="H149" i="9"/>
  <c r="I149" i="9"/>
  <c r="J149" i="9"/>
  <c r="K149" i="9"/>
  <c r="M149" i="9"/>
  <c r="L149" i="9"/>
  <c r="F150" i="9"/>
  <c r="G150" i="9" s="1"/>
  <c r="H150" i="9"/>
  <c r="I150" i="9"/>
  <c r="J150" i="9"/>
  <c r="K150" i="9"/>
  <c r="M150" i="9"/>
  <c r="L150" i="9"/>
  <c r="F151" i="9"/>
  <c r="G151" i="9" s="1"/>
  <c r="H151" i="9"/>
  <c r="I151" i="9"/>
  <c r="J151" i="9"/>
  <c r="K151" i="9"/>
  <c r="M151" i="9"/>
  <c r="L151" i="9"/>
  <c r="F152" i="9"/>
  <c r="G152" i="9" s="1"/>
  <c r="H152" i="9"/>
  <c r="I152" i="9"/>
  <c r="J152" i="9"/>
  <c r="K152" i="9"/>
  <c r="M152" i="9"/>
  <c r="L152" i="9"/>
  <c r="F153" i="9"/>
  <c r="G153" i="9" s="1"/>
  <c r="H153" i="9"/>
  <c r="I153" i="9"/>
  <c r="J153" i="9"/>
  <c r="K153" i="9"/>
  <c r="M153" i="9"/>
  <c r="L153" i="9"/>
  <c r="F154" i="9"/>
  <c r="G154" i="9" s="1"/>
  <c r="H154" i="9"/>
  <c r="I154" i="9"/>
  <c r="J154" i="9"/>
  <c r="K154" i="9"/>
  <c r="M154" i="9"/>
  <c r="L154" i="9"/>
  <c r="F155" i="9"/>
  <c r="G155" i="9" s="1"/>
  <c r="H155" i="9"/>
  <c r="I155" i="9"/>
  <c r="J155" i="9"/>
  <c r="K155" i="9"/>
  <c r="M155" i="9"/>
  <c r="L155" i="9"/>
  <c r="F156" i="9"/>
  <c r="G156" i="9" s="1"/>
  <c r="H156" i="9"/>
  <c r="I156" i="9"/>
  <c r="J156" i="9"/>
  <c r="K156" i="9"/>
  <c r="M156" i="9"/>
  <c r="L156" i="9"/>
  <c r="F157" i="9"/>
  <c r="G157" i="9" s="1"/>
  <c r="H157" i="9"/>
  <c r="I157" i="9"/>
  <c r="J157" i="9"/>
  <c r="K157" i="9"/>
  <c r="M157" i="9"/>
  <c r="L157" i="9"/>
  <c r="F158" i="9"/>
  <c r="G158" i="9" s="1"/>
  <c r="H158" i="9"/>
  <c r="I158" i="9"/>
  <c r="J158" i="9"/>
  <c r="K158" i="9"/>
  <c r="M158" i="9"/>
  <c r="L158" i="9"/>
  <c r="F159" i="9"/>
  <c r="G159" i="9" s="1"/>
  <c r="H159" i="9"/>
  <c r="I159" i="9"/>
  <c r="J159" i="9"/>
  <c r="K159" i="9"/>
  <c r="M159" i="9"/>
  <c r="L159" i="9"/>
  <c r="F160" i="9"/>
  <c r="G160" i="9" s="1"/>
  <c r="H160" i="9"/>
  <c r="I160" i="9"/>
  <c r="J160" i="9"/>
  <c r="K160" i="9"/>
  <c r="M160" i="9"/>
  <c r="L160" i="9"/>
  <c r="F161" i="9"/>
  <c r="G161" i="9" s="1"/>
  <c r="H161" i="9"/>
  <c r="I161" i="9"/>
  <c r="J161" i="9"/>
  <c r="K161" i="9"/>
  <c r="M161" i="9"/>
  <c r="L161" i="9"/>
  <c r="F162" i="9"/>
  <c r="G162" i="9" s="1"/>
  <c r="H162" i="9"/>
  <c r="I162" i="9"/>
  <c r="J162" i="9"/>
  <c r="K162" i="9"/>
  <c r="M162" i="9"/>
  <c r="L162" i="9"/>
  <c r="F163" i="9"/>
  <c r="G163" i="9" s="1"/>
  <c r="H163" i="9"/>
  <c r="I163" i="9"/>
  <c r="J163" i="9"/>
  <c r="K163" i="9"/>
  <c r="M163" i="9"/>
  <c r="L163" i="9"/>
  <c r="F164" i="9"/>
  <c r="G164" i="9" s="1"/>
  <c r="H164" i="9"/>
  <c r="I164" i="9"/>
  <c r="J164" i="9"/>
  <c r="K164" i="9"/>
  <c r="M164" i="9"/>
  <c r="L164" i="9"/>
  <c r="F165" i="9"/>
  <c r="G165" i="9" s="1"/>
  <c r="H165" i="9"/>
  <c r="I165" i="9"/>
  <c r="J165" i="9"/>
  <c r="K165" i="9"/>
  <c r="M165" i="9"/>
  <c r="L165" i="9"/>
  <c r="F166" i="9"/>
  <c r="G166" i="9" s="1"/>
  <c r="H166" i="9"/>
  <c r="I166" i="9"/>
  <c r="J166" i="9"/>
  <c r="K166" i="9"/>
  <c r="M166" i="9"/>
  <c r="L166" i="9"/>
  <c r="F167" i="9"/>
  <c r="G167" i="9" s="1"/>
  <c r="H167" i="9"/>
  <c r="I167" i="9"/>
  <c r="J167" i="9"/>
  <c r="K167" i="9"/>
  <c r="M167" i="9"/>
  <c r="L167" i="9"/>
  <c r="F168" i="9"/>
  <c r="G168" i="9" s="1"/>
  <c r="H168" i="9"/>
  <c r="I168" i="9"/>
  <c r="J168" i="9"/>
  <c r="K168" i="9"/>
  <c r="M168" i="9"/>
  <c r="L168" i="9"/>
  <c r="F169" i="9"/>
  <c r="G169" i="9" s="1"/>
  <c r="H169" i="9"/>
  <c r="I169" i="9"/>
  <c r="J169" i="9"/>
  <c r="K169" i="9"/>
  <c r="M169" i="9"/>
  <c r="L169" i="9"/>
  <c r="F170" i="9"/>
  <c r="G170" i="9" s="1"/>
  <c r="H170" i="9"/>
  <c r="I170" i="9"/>
  <c r="J170" i="9"/>
  <c r="K170" i="9"/>
  <c r="M170" i="9"/>
  <c r="L170" i="9"/>
  <c r="F171" i="9"/>
  <c r="G171" i="9" s="1"/>
  <c r="H171" i="9"/>
  <c r="I171" i="9"/>
  <c r="J171" i="9"/>
  <c r="K171" i="9"/>
  <c r="M171" i="9"/>
  <c r="L171" i="9"/>
  <c r="F172" i="9"/>
  <c r="G172" i="9" s="1"/>
  <c r="H172" i="9"/>
  <c r="I172" i="9"/>
  <c r="J172" i="9"/>
  <c r="K172" i="9"/>
  <c r="M172" i="9"/>
  <c r="L172" i="9"/>
  <c r="F173" i="9"/>
  <c r="G173" i="9" s="1"/>
  <c r="H173" i="9"/>
  <c r="I173" i="9"/>
  <c r="J173" i="9"/>
  <c r="K173" i="9"/>
  <c r="M173" i="9"/>
  <c r="L173" i="9"/>
  <c r="F174" i="9"/>
  <c r="G174" i="9" s="1"/>
  <c r="H174" i="9"/>
  <c r="I174" i="9"/>
  <c r="J174" i="9"/>
  <c r="K174" i="9"/>
  <c r="M174" i="9"/>
  <c r="L174" i="9"/>
  <c r="F175" i="9"/>
  <c r="G175" i="9" s="1"/>
  <c r="H175" i="9"/>
  <c r="I175" i="9"/>
  <c r="J175" i="9"/>
  <c r="K175" i="9"/>
  <c r="M175" i="9"/>
  <c r="L175" i="9"/>
  <c r="F176" i="9"/>
  <c r="G176" i="9" s="1"/>
  <c r="H176" i="9"/>
  <c r="I176" i="9"/>
  <c r="J176" i="9"/>
  <c r="K176" i="9"/>
  <c r="M176" i="9"/>
  <c r="L176" i="9"/>
  <c r="F177" i="9"/>
  <c r="G177" i="9" s="1"/>
  <c r="H177" i="9"/>
  <c r="I177" i="9"/>
  <c r="J177" i="9"/>
  <c r="K177" i="9"/>
  <c r="M177" i="9"/>
  <c r="L177" i="9"/>
  <c r="F178" i="9"/>
  <c r="G178" i="9" s="1"/>
  <c r="H178" i="9"/>
  <c r="I178" i="9"/>
  <c r="J178" i="9"/>
  <c r="K178" i="9"/>
  <c r="M178" i="9"/>
  <c r="L178" i="9"/>
  <c r="F179" i="9"/>
  <c r="G179" i="9" s="1"/>
  <c r="H179" i="9"/>
  <c r="I179" i="9"/>
  <c r="J179" i="9"/>
  <c r="K179" i="9"/>
  <c r="M179" i="9"/>
  <c r="L179" i="9"/>
  <c r="F180" i="9"/>
  <c r="G180" i="9" s="1"/>
  <c r="H180" i="9"/>
  <c r="I180" i="9"/>
  <c r="J180" i="9"/>
  <c r="K180" i="9"/>
  <c r="M180" i="9"/>
  <c r="L180" i="9"/>
  <c r="F181" i="9"/>
  <c r="G181" i="9" s="1"/>
  <c r="H181" i="9"/>
  <c r="I181" i="9"/>
  <c r="J181" i="9"/>
  <c r="K181" i="9"/>
  <c r="M181" i="9"/>
  <c r="L181" i="9"/>
  <c r="F182" i="9"/>
  <c r="G182" i="9" s="1"/>
  <c r="H182" i="9"/>
  <c r="I182" i="9"/>
  <c r="J182" i="9"/>
  <c r="K182" i="9"/>
  <c r="M182" i="9"/>
  <c r="L182" i="9"/>
  <c r="F183" i="9"/>
  <c r="G183" i="9" s="1"/>
  <c r="H183" i="9"/>
  <c r="I183" i="9"/>
  <c r="J183" i="9"/>
  <c r="K183" i="9"/>
  <c r="M183" i="9"/>
  <c r="L183" i="9"/>
  <c r="F184" i="9"/>
  <c r="G184" i="9" s="1"/>
  <c r="H184" i="9"/>
  <c r="I184" i="9"/>
  <c r="J184" i="9"/>
  <c r="K184" i="9"/>
  <c r="M184" i="9"/>
  <c r="L184" i="9"/>
  <c r="F185" i="9"/>
  <c r="G185" i="9" s="1"/>
  <c r="H185" i="9"/>
  <c r="I185" i="9"/>
  <c r="J185" i="9"/>
  <c r="K185" i="9"/>
  <c r="M185" i="9"/>
  <c r="L185" i="9"/>
  <c r="F186" i="9"/>
  <c r="G186" i="9" s="1"/>
  <c r="H186" i="9"/>
  <c r="I186" i="9"/>
  <c r="J186" i="9"/>
  <c r="K186" i="9"/>
  <c r="M186" i="9"/>
  <c r="L186" i="9"/>
  <c r="F187" i="9"/>
  <c r="G187" i="9" s="1"/>
  <c r="H187" i="9"/>
  <c r="I187" i="9"/>
  <c r="J187" i="9"/>
  <c r="K187" i="9"/>
  <c r="M187" i="9"/>
  <c r="L187" i="9"/>
  <c r="F188" i="9"/>
  <c r="G188" i="9" s="1"/>
  <c r="H188" i="9"/>
  <c r="I188" i="9"/>
  <c r="J188" i="9"/>
  <c r="K188" i="9"/>
  <c r="M188" i="9"/>
  <c r="L188" i="9"/>
  <c r="F189" i="9"/>
  <c r="G189" i="9" s="1"/>
  <c r="H189" i="9"/>
  <c r="I189" i="9"/>
  <c r="J189" i="9"/>
  <c r="K189" i="9"/>
  <c r="M189" i="9"/>
  <c r="L189" i="9"/>
  <c r="F190" i="9"/>
  <c r="G190" i="9" s="1"/>
  <c r="H190" i="9"/>
  <c r="I190" i="9"/>
  <c r="J190" i="9"/>
  <c r="K190" i="9"/>
  <c r="M190" i="9"/>
  <c r="L190" i="9"/>
  <c r="F191" i="9"/>
  <c r="G191" i="9" s="1"/>
  <c r="H191" i="9"/>
  <c r="I191" i="9"/>
  <c r="J191" i="9"/>
  <c r="K191" i="9"/>
  <c r="M191" i="9"/>
  <c r="L191" i="9"/>
  <c r="F192" i="9"/>
  <c r="G192" i="9" s="1"/>
  <c r="H192" i="9"/>
  <c r="I192" i="9"/>
  <c r="J192" i="9"/>
  <c r="K192" i="9"/>
  <c r="M192" i="9"/>
  <c r="L192" i="9"/>
  <c r="F193" i="9"/>
  <c r="G193" i="9" s="1"/>
  <c r="H193" i="9"/>
  <c r="I193" i="9"/>
  <c r="J193" i="9"/>
  <c r="K193" i="9"/>
  <c r="M193" i="9"/>
  <c r="L193" i="9"/>
  <c r="F194" i="9"/>
  <c r="G194" i="9" s="1"/>
  <c r="H194" i="9"/>
  <c r="I194" i="9"/>
  <c r="J194" i="9"/>
  <c r="K194" i="9"/>
  <c r="M194" i="9"/>
  <c r="L194" i="9"/>
  <c r="F195" i="9"/>
  <c r="G195" i="9" s="1"/>
  <c r="H195" i="9"/>
  <c r="I195" i="9"/>
  <c r="J195" i="9"/>
  <c r="K195" i="9"/>
  <c r="M195" i="9"/>
  <c r="L195" i="9"/>
  <c r="F196" i="9"/>
  <c r="G196" i="9" s="1"/>
  <c r="H196" i="9"/>
  <c r="I196" i="9"/>
  <c r="J196" i="9"/>
  <c r="K196" i="9"/>
  <c r="M196" i="9"/>
  <c r="L196" i="9"/>
  <c r="F197" i="9"/>
  <c r="G197" i="9" s="1"/>
  <c r="H197" i="9"/>
  <c r="I197" i="9"/>
  <c r="J197" i="9"/>
  <c r="K197" i="9"/>
  <c r="M197" i="9"/>
  <c r="L197" i="9"/>
  <c r="F198" i="9"/>
  <c r="G198" i="9" s="1"/>
  <c r="H198" i="9"/>
  <c r="I198" i="9"/>
  <c r="J198" i="9"/>
  <c r="K198" i="9"/>
  <c r="M198" i="9"/>
  <c r="L198" i="9"/>
  <c r="F199" i="9"/>
  <c r="G199" i="9" s="1"/>
  <c r="H199" i="9"/>
  <c r="I199" i="9"/>
  <c r="J199" i="9"/>
  <c r="K199" i="9"/>
  <c r="M199" i="9"/>
  <c r="L199" i="9"/>
  <c r="F200" i="9"/>
  <c r="G200" i="9" s="1"/>
  <c r="H200" i="9"/>
  <c r="I200" i="9"/>
  <c r="J200" i="9"/>
  <c r="K200" i="9"/>
  <c r="M200" i="9"/>
  <c r="L200" i="9"/>
  <c r="F201" i="9"/>
  <c r="G201" i="9" s="1"/>
  <c r="H201" i="9"/>
  <c r="I201" i="9"/>
  <c r="J201" i="9"/>
  <c r="K201" i="9"/>
  <c r="M201" i="9"/>
  <c r="L201" i="9"/>
  <c r="F202" i="9"/>
  <c r="G202" i="9" s="1"/>
  <c r="H202" i="9"/>
  <c r="I202" i="9"/>
  <c r="J202" i="9"/>
  <c r="K202" i="9"/>
  <c r="M202" i="9"/>
  <c r="L202" i="9"/>
  <c r="F203" i="9"/>
  <c r="G203" i="9" s="1"/>
  <c r="H203" i="9"/>
  <c r="I203" i="9"/>
  <c r="J203" i="9"/>
  <c r="K203" i="9"/>
  <c r="M203" i="9"/>
  <c r="L203" i="9"/>
  <c r="F204" i="9"/>
  <c r="G204" i="9" s="1"/>
  <c r="H204" i="9"/>
  <c r="I204" i="9"/>
  <c r="J204" i="9"/>
  <c r="K204" i="9"/>
  <c r="M204" i="9"/>
  <c r="L204" i="9"/>
  <c r="F205" i="9"/>
  <c r="G205" i="9" s="1"/>
  <c r="H205" i="9"/>
  <c r="I205" i="9"/>
  <c r="J205" i="9"/>
  <c r="K205" i="9"/>
  <c r="M205" i="9"/>
  <c r="L205" i="9"/>
  <c r="F206" i="9"/>
  <c r="G206" i="9" s="1"/>
  <c r="H206" i="9"/>
  <c r="I206" i="9"/>
  <c r="J206" i="9"/>
  <c r="K206" i="9"/>
  <c r="M206" i="9"/>
  <c r="L206" i="9"/>
  <c r="F207" i="9"/>
  <c r="G207" i="9" s="1"/>
  <c r="H207" i="9"/>
  <c r="I207" i="9"/>
  <c r="J207" i="9"/>
  <c r="K207" i="9"/>
  <c r="M207" i="9"/>
  <c r="L207" i="9"/>
  <c r="F208" i="9"/>
  <c r="G208" i="9" s="1"/>
  <c r="H208" i="9"/>
  <c r="I208" i="9"/>
  <c r="J208" i="9"/>
  <c r="K208" i="9"/>
  <c r="M208" i="9"/>
  <c r="L208" i="9"/>
  <c r="F209" i="9"/>
  <c r="G209" i="9" s="1"/>
  <c r="H209" i="9"/>
  <c r="I209" i="9"/>
  <c r="J209" i="9"/>
  <c r="K209" i="9"/>
  <c r="M209" i="9"/>
  <c r="L209" i="9"/>
  <c r="F210" i="9"/>
  <c r="G210" i="9" s="1"/>
  <c r="H210" i="9"/>
  <c r="I210" i="9"/>
  <c r="J210" i="9"/>
  <c r="K210" i="9"/>
  <c r="M210" i="9"/>
  <c r="L210" i="9"/>
  <c r="F211" i="9"/>
  <c r="G211" i="9" s="1"/>
  <c r="H211" i="9"/>
  <c r="I211" i="9"/>
  <c r="J211" i="9"/>
  <c r="K211" i="9"/>
  <c r="M211" i="9"/>
  <c r="L211" i="9"/>
  <c r="F212" i="9"/>
  <c r="G212" i="9" s="1"/>
  <c r="H212" i="9"/>
  <c r="I212" i="9"/>
  <c r="J212" i="9"/>
  <c r="K212" i="9"/>
  <c r="M212" i="9"/>
  <c r="L212" i="9"/>
  <c r="F213" i="9"/>
  <c r="G213" i="9" s="1"/>
  <c r="H213" i="9"/>
  <c r="I213" i="9"/>
  <c r="J213" i="9"/>
  <c r="K213" i="9"/>
  <c r="M213" i="9"/>
  <c r="L213" i="9"/>
  <c r="F214" i="9"/>
  <c r="G214" i="9" s="1"/>
  <c r="H214" i="9"/>
  <c r="I214" i="9"/>
  <c r="J214" i="9"/>
  <c r="K214" i="9"/>
  <c r="M214" i="9"/>
  <c r="L214" i="9"/>
  <c r="F215" i="9"/>
  <c r="G215" i="9" s="1"/>
  <c r="H215" i="9"/>
  <c r="I215" i="9"/>
  <c r="J215" i="9"/>
  <c r="K215" i="9"/>
  <c r="M215" i="9"/>
  <c r="L215" i="9"/>
  <c r="F216" i="9"/>
  <c r="G216" i="9" s="1"/>
  <c r="H216" i="9"/>
  <c r="I216" i="9"/>
  <c r="J216" i="9"/>
  <c r="K216" i="9"/>
  <c r="M216" i="9"/>
  <c r="L216" i="9"/>
  <c r="F217" i="9"/>
  <c r="G217" i="9" s="1"/>
  <c r="H217" i="9"/>
  <c r="I217" i="9"/>
  <c r="J217" i="9"/>
  <c r="K217" i="9"/>
  <c r="M217" i="9"/>
  <c r="L217" i="9"/>
  <c r="F218" i="9"/>
  <c r="G218" i="9" s="1"/>
  <c r="H218" i="9"/>
  <c r="I218" i="9"/>
  <c r="J218" i="9"/>
  <c r="K218" i="9"/>
  <c r="M218" i="9"/>
  <c r="L218" i="9"/>
  <c r="F219" i="9"/>
  <c r="G219" i="9" s="1"/>
  <c r="H219" i="9"/>
  <c r="I219" i="9"/>
  <c r="J219" i="9"/>
  <c r="K219" i="9"/>
  <c r="M219" i="9"/>
  <c r="L219" i="9"/>
  <c r="F220" i="9"/>
  <c r="G220" i="9" s="1"/>
  <c r="H220" i="9"/>
  <c r="I220" i="9"/>
  <c r="J220" i="9"/>
  <c r="K220" i="9"/>
  <c r="M220" i="9"/>
  <c r="L220" i="9"/>
  <c r="F221" i="9"/>
  <c r="G221" i="9" s="1"/>
  <c r="H221" i="9"/>
  <c r="I221" i="9"/>
  <c r="J221" i="9"/>
  <c r="K221" i="9"/>
  <c r="M221" i="9"/>
  <c r="L221" i="9"/>
  <c r="F222" i="9"/>
  <c r="G222" i="9" s="1"/>
  <c r="H222" i="9"/>
  <c r="I222" i="9"/>
  <c r="J222" i="9"/>
  <c r="K222" i="9"/>
  <c r="M222" i="9"/>
  <c r="L222" i="9"/>
  <c r="F223" i="9"/>
  <c r="G223" i="9" s="1"/>
  <c r="H223" i="9"/>
  <c r="I223" i="9"/>
  <c r="J223" i="9"/>
  <c r="K223" i="9"/>
  <c r="M223" i="9"/>
  <c r="L223" i="9"/>
  <c r="F224" i="9"/>
  <c r="G224" i="9" s="1"/>
  <c r="H224" i="9"/>
  <c r="I224" i="9"/>
  <c r="J224" i="9"/>
  <c r="K224" i="9"/>
  <c r="M224" i="9"/>
  <c r="L224" i="9"/>
  <c r="F225" i="9"/>
  <c r="G225" i="9" s="1"/>
  <c r="H225" i="9"/>
  <c r="I225" i="9"/>
  <c r="J225" i="9"/>
  <c r="K225" i="9"/>
  <c r="M225" i="9"/>
  <c r="L225" i="9"/>
  <c r="F226" i="9"/>
  <c r="G226" i="9" s="1"/>
  <c r="H226" i="9"/>
  <c r="I226" i="9"/>
  <c r="J226" i="9"/>
  <c r="K226" i="9"/>
  <c r="M226" i="9"/>
  <c r="L226" i="9"/>
  <c r="F227" i="9"/>
  <c r="G227" i="9" s="1"/>
  <c r="H227" i="9"/>
  <c r="I227" i="9"/>
  <c r="J227" i="9"/>
  <c r="K227" i="9"/>
  <c r="M227" i="9"/>
  <c r="L227" i="9"/>
  <c r="F228" i="9"/>
  <c r="G228" i="9" s="1"/>
  <c r="H228" i="9"/>
  <c r="I228" i="9"/>
  <c r="J228" i="9"/>
  <c r="K228" i="9"/>
  <c r="M228" i="9"/>
  <c r="L228" i="9"/>
  <c r="F229" i="9"/>
  <c r="G229" i="9" s="1"/>
  <c r="H229" i="9"/>
  <c r="I229" i="9"/>
  <c r="J229" i="9"/>
  <c r="K229" i="9"/>
  <c r="M229" i="9"/>
  <c r="L229" i="9"/>
  <c r="F230" i="9"/>
  <c r="G230" i="9" s="1"/>
  <c r="H230" i="9"/>
  <c r="I230" i="9"/>
  <c r="J230" i="9"/>
  <c r="K230" i="9"/>
  <c r="M230" i="9"/>
  <c r="L230" i="9"/>
  <c r="F231" i="9"/>
  <c r="G231" i="9" s="1"/>
  <c r="H231" i="9"/>
  <c r="I231" i="9"/>
  <c r="J231" i="9"/>
  <c r="K231" i="9"/>
  <c r="M231" i="9"/>
  <c r="L231" i="9"/>
  <c r="F232" i="9"/>
  <c r="G232" i="9" s="1"/>
  <c r="H232" i="9"/>
  <c r="I232" i="9"/>
  <c r="J232" i="9"/>
  <c r="K232" i="9"/>
  <c r="M232" i="9"/>
  <c r="L232" i="9"/>
  <c r="F233" i="9"/>
  <c r="G233" i="9" s="1"/>
  <c r="H233" i="9"/>
  <c r="I233" i="9"/>
  <c r="J233" i="9"/>
  <c r="K233" i="9"/>
  <c r="M233" i="9"/>
  <c r="L233" i="9"/>
  <c r="F234" i="9"/>
  <c r="G234" i="9" s="1"/>
  <c r="H234" i="9"/>
  <c r="I234" i="9"/>
  <c r="J234" i="9"/>
  <c r="K234" i="9"/>
  <c r="M234" i="9"/>
  <c r="L234" i="9"/>
  <c r="F235" i="9"/>
  <c r="G235" i="9" s="1"/>
  <c r="H235" i="9"/>
  <c r="I235" i="9"/>
  <c r="J235" i="9"/>
  <c r="K235" i="9"/>
  <c r="M235" i="9"/>
  <c r="L235" i="9"/>
  <c r="F236" i="9"/>
  <c r="G236" i="9" s="1"/>
  <c r="H236" i="9"/>
  <c r="I236" i="9"/>
  <c r="J236" i="9"/>
  <c r="K236" i="9"/>
  <c r="M236" i="9"/>
  <c r="L236" i="9"/>
  <c r="F237" i="9"/>
  <c r="G237" i="9" s="1"/>
  <c r="H237" i="9"/>
  <c r="I237" i="9"/>
  <c r="J237" i="9"/>
  <c r="K237" i="9"/>
  <c r="M237" i="9"/>
  <c r="L237" i="9"/>
  <c r="F238" i="9"/>
  <c r="G238" i="9" s="1"/>
  <c r="H238" i="9"/>
  <c r="I238" i="9"/>
  <c r="J238" i="9"/>
  <c r="K238" i="9"/>
  <c r="M238" i="9"/>
  <c r="L238" i="9"/>
  <c r="F101" i="9"/>
  <c r="G101" i="9" s="1"/>
  <c r="H101" i="9"/>
  <c r="I101" i="9"/>
  <c r="J101" i="9"/>
  <c r="K101" i="9"/>
  <c r="M101" i="9"/>
  <c r="L101" i="9"/>
  <c r="L100" i="9"/>
  <c r="M100" i="9"/>
  <c r="K100" i="9"/>
  <c r="J100" i="9"/>
  <c r="I100" i="9"/>
  <c r="H100" i="9"/>
  <c r="F100" i="9"/>
  <c r="G100" i="9" s="1"/>
  <c r="F33" i="9"/>
  <c r="G33" i="9" s="1"/>
  <c r="H33" i="9"/>
  <c r="I33" i="9"/>
  <c r="J33" i="9"/>
  <c r="K33" i="9"/>
  <c r="M33" i="9"/>
  <c r="L33" i="9"/>
  <c r="F34" i="9"/>
  <c r="G34" i="9" s="1"/>
  <c r="H34" i="9"/>
  <c r="I34" i="9"/>
  <c r="J34" i="9"/>
  <c r="K34" i="9"/>
  <c r="M34" i="9"/>
  <c r="L34" i="9"/>
  <c r="F35" i="9"/>
  <c r="G35" i="9" s="1"/>
  <c r="H35" i="9"/>
  <c r="I35" i="9"/>
  <c r="J35" i="9"/>
  <c r="K35" i="9"/>
  <c r="M35" i="9"/>
  <c r="L35" i="9"/>
  <c r="F36" i="9"/>
  <c r="G36" i="9" s="1"/>
  <c r="H36" i="9"/>
  <c r="I36" i="9"/>
  <c r="J36" i="9"/>
  <c r="K36" i="9"/>
  <c r="M36" i="9"/>
  <c r="L36" i="9"/>
  <c r="F37" i="9"/>
  <c r="G37" i="9" s="1"/>
  <c r="H37" i="9"/>
  <c r="I37" i="9"/>
  <c r="J37" i="9"/>
  <c r="K37" i="9"/>
  <c r="M37" i="9"/>
  <c r="L37" i="9"/>
  <c r="F38" i="9"/>
  <c r="G38" i="9" s="1"/>
  <c r="H38" i="9"/>
  <c r="I38" i="9"/>
  <c r="J38" i="9"/>
  <c r="K38" i="9"/>
  <c r="M38" i="9"/>
  <c r="L38" i="9"/>
  <c r="F39" i="9"/>
  <c r="G39" i="9" s="1"/>
  <c r="H39" i="9"/>
  <c r="I39" i="9"/>
  <c r="J39" i="9"/>
  <c r="K39" i="9"/>
  <c r="M39" i="9"/>
  <c r="L39" i="9"/>
  <c r="F40" i="9"/>
  <c r="G40" i="9" s="1"/>
  <c r="H40" i="9"/>
  <c r="I40" i="9"/>
  <c r="J40" i="9"/>
  <c r="K40" i="9"/>
  <c r="M40" i="9"/>
  <c r="L40" i="9"/>
  <c r="F41" i="9"/>
  <c r="G41" i="9" s="1"/>
  <c r="H41" i="9"/>
  <c r="I41" i="9"/>
  <c r="J41" i="9"/>
  <c r="K41" i="9"/>
  <c r="M41" i="9"/>
  <c r="L41" i="9"/>
  <c r="F42" i="9"/>
  <c r="G42" i="9" s="1"/>
  <c r="H42" i="9"/>
  <c r="I42" i="9"/>
  <c r="J42" i="9"/>
  <c r="K42" i="9"/>
  <c r="M42" i="9"/>
  <c r="L42" i="9"/>
  <c r="F43" i="9"/>
  <c r="G43" i="9" s="1"/>
  <c r="H43" i="9"/>
  <c r="I43" i="9"/>
  <c r="J43" i="9"/>
  <c r="K43" i="9"/>
  <c r="M43" i="9"/>
  <c r="L43" i="9"/>
  <c r="F44" i="9"/>
  <c r="G44" i="9" s="1"/>
  <c r="H44" i="9"/>
  <c r="I44" i="9"/>
  <c r="J44" i="9"/>
  <c r="K44" i="9"/>
  <c r="M44" i="9"/>
  <c r="L44" i="9"/>
  <c r="F45" i="9"/>
  <c r="G45" i="9" s="1"/>
  <c r="H45" i="9"/>
  <c r="I45" i="9"/>
  <c r="J45" i="9"/>
  <c r="K45" i="9"/>
  <c r="M45" i="9"/>
  <c r="L45" i="9"/>
  <c r="F46" i="9"/>
  <c r="G46" i="9" s="1"/>
  <c r="H46" i="9"/>
  <c r="I46" i="9"/>
  <c r="J46" i="9"/>
  <c r="K46" i="9"/>
  <c r="M46" i="9"/>
  <c r="L46" i="9"/>
  <c r="F47" i="9"/>
  <c r="G47" i="9" s="1"/>
  <c r="H47" i="9"/>
  <c r="I47" i="9"/>
  <c r="J47" i="9"/>
  <c r="K47" i="9"/>
  <c r="M47" i="9"/>
  <c r="L47" i="9"/>
  <c r="F48" i="9"/>
  <c r="G48" i="9" s="1"/>
  <c r="H48" i="9"/>
  <c r="I48" i="9"/>
  <c r="J48" i="9"/>
  <c r="K48" i="9"/>
  <c r="M48" i="9"/>
  <c r="L48" i="9"/>
  <c r="F49" i="9"/>
  <c r="G49" i="9" s="1"/>
  <c r="H49" i="9"/>
  <c r="I49" i="9"/>
  <c r="J49" i="9"/>
  <c r="K49" i="9"/>
  <c r="M49" i="9"/>
  <c r="L49" i="9"/>
  <c r="F50" i="9"/>
  <c r="G50" i="9" s="1"/>
  <c r="H50" i="9"/>
  <c r="I50" i="9"/>
  <c r="J50" i="9"/>
  <c r="K50" i="9"/>
  <c r="M50" i="9"/>
  <c r="L50" i="9"/>
  <c r="F51" i="9"/>
  <c r="G51" i="9" s="1"/>
  <c r="H51" i="9"/>
  <c r="I51" i="9"/>
  <c r="J51" i="9"/>
  <c r="K51" i="9"/>
  <c r="M51" i="9"/>
  <c r="L51" i="9"/>
  <c r="F52" i="9"/>
  <c r="G52" i="9" s="1"/>
  <c r="H52" i="9"/>
  <c r="I52" i="9"/>
  <c r="J52" i="9"/>
  <c r="K52" i="9"/>
  <c r="M52" i="9"/>
  <c r="L52" i="9"/>
  <c r="F53" i="9"/>
  <c r="G53" i="9" s="1"/>
  <c r="H53" i="9"/>
  <c r="I53" i="9"/>
  <c r="J53" i="9"/>
  <c r="K53" i="9"/>
  <c r="M53" i="9"/>
  <c r="L53" i="9"/>
  <c r="F54" i="9"/>
  <c r="G54" i="9" s="1"/>
  <c r="H54" i="9"/>
  <c r="I54" i="9"/>
  <c r="J54" i="9"/>
  <c r="K54" i="9"/>
  <c r="M54" i="9"/>
  <c r="L54" i="9"/>
  <c r="F55" i="9"/>
  <c r="G55" i="9" s="1"/>
  <c r="H55" i="9"/>
  <c r="I55" i="9"/>
  <c r="J55" i="9"/>
  <c r="K55" i="9"/>
  <c r="M55" i="9"/>
  <c r="L55" i="9"/>
  <c r="F56" i="9"/>
  <c r="G56" i="9" s="1"/>
  <c r="H56" i="9"/>
  <c r="I56" i="9"/>
  <c r="J56" i="9"/>
  <c r="K56" i="9"/>
  <c r="M56" i="9"/>
  <c r="L56" i="9"/>
  <c r="F57" i="9"/>
  <c r="G57" i="9" s="1"/>
  <c r="H57" i="9"/>
  <c r="I57" i="9"/>
  <c r="J57" i="9"/>
  <c r="K57" i="9"/>
  <c r="M57" i="9"/>
  <c r="L57" i="9"/>
  <c r="F58" i="9"/>
  <c r="G58" i="9" s="1"/>
  <c r="H58" i="9"/>
  <c r="I58" i="9"/>
  <c r="J58" i="9"/>
  <c r="K58" i="9"/>
  <c r="M58" i="9"/>
  <c r="L58" i="9"/>
  <c r="F59" i="9"/>
  <c r="G59" i="9" s="1"/>
  <c r="H59" i="9"/>
  <c r="I59" i="9"/>
  <c r="J59" i="9"/>
  <c r="K59" i="9"/>
  <c r="M59" i="9"/>
  <c r="L59" i="9"/>
  <c r="F60" i="9"/>
  <c r="G60" i="9" s="1"/>
  <c r="H60" i="9"/>
  <c r="I60" i="9"/>
  <c r="J60" i="9"/>
  <c r="K60" i="9"/>
  <c r="M60" i="9"/>
  <c r="L60" i="9"/>
  <c r="F61" i="9"/>
  <c r="G61" i="9" s="1"/>
  <c r="H61" i="9"/>
  <c r="I61" i="9"/>
  <c r="J61" i="9"/>
  <c r="K61" i="9"/>
  <c r="M61" i="9"/>
  <c r="L61" i="9"/>
  <c r="F62" i="9"/>
  <c r="G62" i="9" s="1"/>
  <c r="H62" i="9"/>
  <c r="I62" i="9"/>
  <c r="J62" i="9"/>
  <c r="K62" i="9"/>
  <c r="M62" i="9"/>
  <c r="L62" i="9"/>
  <c r="F63" i="9"/>
  <c r="G63" i="9" s="1"/>
  <c r="H63" i="9"/>
  <c r="I63" i="9"/>
  <c r="J63" i="9"/>
  <c r="K63" i="9"/>
  <c r="M63" i="9"/>
  <c r="L63" i="9"/>
  <c r="F64" i="9"/>
  <c r="G64" i="9" s="1"/>
  <c r="H64" i="9"/>
  <c r="I64" i="9"/>
  <c r="J64" i="9"/>
  <c r="K64" i="9"/>
  <c r="M64" i="9"/>
  <c r="L64" i="9"/>
  <c r="F65" i="9"/>
  <c r="G65" i="9" s="1"/>
  <c r="H65" i="9"/>
  <c r="I65" i="9"/>
  <c r="J65" i="9"/>
  <c r="K65" i="9"/>
  <c r="M65" i="9"/>
  <c r="L65" i="9"/>
  <c r="F66" i="9"/>
  <c r="G66" i="9" s="1"/>
  <c r="H66" i="9"/>
  <c r="I66" i="9"/>
  <c r="J66" i="9"/>
  <c r="K66" i="9"/>
  <c r="M66" i="9"/>
  <c r="L66" i="9"/>
  <c r="F67" i="9"/>
  <c r="G67" i="9" s="1"/>
  <c r="H67" i="9"/>
  <c r="I67" i="9"/>
  <c r="J67" i="9"/>
  <c r="K67" i="9"/>
  <c r="M67" i="9"/>
  <c r="L67" i="9"/>
  <c r="F68" i="9"/>
  <c r="G68" i="9" s="1"/>
  <c r="H68" i="9"/>
  <c r="I68" i="9"/>
  <c r="J68" i="9"/>
  <c r="K68" i="9"/>
  <c r="M68" i="9"/>
  <c r="L68" i="9"/>
  <c r="F69" i="9"/>
  <c r="G69" i="9" s="1"/>
  <c r="H69" i="9"/>
  <c r="I69" i="9"/>
  <c r="J69" i="9"/>
  <c r="K69" i="9"/>
  <c r="M69" i="9"/>
  <c r="L69" i="9"/>
  <c r="F70" i="9"/>
  <c r="G70" i="9" s="1"/>
  <c r="H70" i="9"/>
  <c r="I70" i="9"/>
  <c r="J70" i="9"/>
  <c r="K70" i="9"/>
  <c r="M70" i="9"/>
  <c r="L70" i="9"/>
  <c r="F71" i="9"/>
  <c r="G71" i="9" s="1"/>
  <c r="H71" i="9"/>
  <c r="I71" i="9"/>
  <c r="J71" i="9"/>
  <c r="K71" i="9"/>
  <c r="M71" i="9"/>
  <c r="L71" i="9"/>
  <c r="F72" i="9"/>
  <c r="G72" i="9" s="1"/>
  <c r="H72" i="9"/>
  <c r="I72" i="9"/>
  <c r="J72" i="9"/>
  <c r="K72" i="9"/>
  <c r="M72" i="9"/>
  <c r="L72" i="9"/>
  <c r="F73" i="9"/>
  <c r="G73" i="9" s="1"/>
  <c r="H73" i="9"/>
  <c r="I73" i="9"/>
  <c r="J73" i="9"/>
  <c r="K73" i="9"/>
  <c r="M73" i="9"/>
  <c r="L73" i="9"/>
  <c r="F74" i="9"/>
  <c r="G74" i="9" s="1"/>
  <c r="H74" i="9"/>
  <c r="I74" i="9"/>
  <c r="J74" i="9"/>
  <c r="K74" i="9"/>
  <c r="M74" i="9"/>
  <c r="L74" i="9"/>
  <c r="F75" i="9"/>
  <c r="G75" i="9" s="1"/>
  <c r="H75" i="9"/>
  <c r="I75" i="9"/>
  <c r="J75" i="9"/>
  <c r="K75" i="9"/>
  <c r="M75" i="9"/>
  <c r="L75" i="9"/>
  <c r="F76" i="9"/>
  <c r="G76" i="9" s="1"/>
  <c r="H76" i="9"/>
  <c r="I76" i="9"/>
  <c r="J76" i="9"/>
  <c r="K76" i="9"/>
  <c r="M76" i="9"/>
  <c r="L76" i="9"/>
  <c r="F77" i="9"/>
  <c r="G77" i="9" s="1"/>
  <c r="H77" i="9"/>
  <c r="I77" i="9"/>
  <c r="J77" i="9"/>
  <c r="K77" i="9"/>
  <c r="M77" i="9"/>
  <c r="L77" i="9"/>
  <c r="F78" i="9"/>
  <c r="G78" i="9" s="1"/>
  <c r="H78" i="9"/>
  <c r="I78" i="9"/>
  <c r="J78" i="9"/>
  <c r="K78" i="9"/>
  <c r="M78" i="9"/>
  <c r="L78" i="9"/>
  <c r="F79" i="9"/>
  <c r="G79" i="9" s="1"/>
  <c r="H79" i="9"/>
  <c r="I79" i="9"/>
  <c r="J79" i="9"/>
  <c r="K79" i="9"/>
  <c r="M79" i="9"/>
  <c r="L79" i="9"/>
  <c r="F80" i="9"/>
  <c r="G80" i="9" s="1"/>
  <c r="H80" i="9"/>
  <c r="I80" i="9"/>
  <c r="J80" i="9"/>
  <c r="K80" i="9"/>
  <c r="M80" i="9"/>
  <c r="L80" i="9"/>
  <c r="F81" i="9"/>
  <c r="G81" i="9" s="1"/>
  <c r="H81" i="9"/>
  <c r="I81" i="9"/>
  <c r="J81" i="9"/>
  <c r="K81" i="9"/>
  <c r="M81" i="9"/>
  <c r="L81" i="9"/>
  <c r="F82" i="9"/>
  <c r="G82" i="9" s="1"/>
  <c r="H82" i="9"/>
  <c r="I82" i="9"/>
  <c r="J82" i="9"/>
  <c r="K82" i="9"/>
  <c r="M82" i="9"/>
  <c r="L82" i="9"/>
  <c r="F83" i="9"/>
  <c r="G83" i="9" s="1"/>
  <c r="H83" i="9"/>
  <c r="I83" i="9"/>
  <c r="J83" i="9"/>
  <c r="K83" i="9"/>
  <c r="M83" i="9"/>
  <c r="L83" i="9"/>
  <c r="F84" i="9"/>
  <c r="G84" i="9" s="1"/>
  <c r="H84" i="9"/>
  <c r="I84" i="9"/>
  <c r="J84" i="9"/>
  <c r="K84" i="9"/>
  <c r="M84" i="9"/>
  <c r="L84" i="9"/>
  <c r="F85" i="9"/>
  <c r="G85" i="9" s="1"/>
  <c r="H85" i="9"/>
  <c r="I85" i="9"/>
  <c r="J85" i="9"/>
  <c r="K85" i="9"/>
  <c r="M85" i="9"/>
  <c r="L85" i="9"/>
  <c r="F86" i="9"/>
  <c r="G86" i="9" s="1"/>
  <c r="H86" i="9"/>
  <c r="I86" i="9"/>
  <c r="J86" i="9"/>
  <c r="K86" i="9"/>
  <c r="M86" i="9"/>
  <c r="L86" i="9"/>
  <c r="F87" i="9"/>
  <c r="G87" i="9" s="1"/>
  <c r="H87" i="9"/>
  <c r="I87" i="9"/>
  <c r="J87" i="9"/>
  <c r="K87" i="9"/>
  <c r="M87" i="9"/>
  <c r="L87" i="9"/>
  <c r="F88" i="9"/>
  <c r="G88" i="9" s="1"/>
  <c r="H88" i="9"/>
  <c r="I88" i="9"/>
  <c r="J88" i="9"/>
  <c r="K88" i="9"/>
  <c r="M88" i="9"/>
  <c r="L88" i="9"/>
  <c r="F89" i="9"/>
  <c r="G89" i="9" s="1"/>
  <c r="H89" i="9"/>
  <c r="I89" i="9"/>
  <c r="J89" i="9"/>
  <c r="K89" i="9"/>
  <c r="M89" i="9"/>
  <c r="L89" i="9"/>
  <c r="F90" i="9"/>
  <c r="G90" i="9" s="1"/>
  <c r="H90" i="9"/>
  <c r="I90" i="9"/>
  <c r="J90" i="9"/>
  <c r="K90" i="9"/>
  <c r="M90" i="9"/>
  <c r="L90" i="9"/>
  <c r="F91" i="9"/>
  <c r="G91" i="9" s="1"/>
  <c r="H91" i="9"/>
  <c r="I91" i="9"/>
  <c r="J91" i="9"/>
  <c r="K91" i="9"/>
  <c r="M91" i="9"/>
  <c r="L91" i="9"/>
  <c r="F92" i="9"/>
  <c r="G92" i="9" s="1"/>
  <c r="H92" i="9"/>
  <c r="I92" i="9"/>
  <c r="J92" i="9"/>
  <c r="K92" i="9"/>
  <c r="M92" i="9"/>
  <c r="L92" i="9"/>
  <c r="F93" i="9"/>
  <c r="G93" i="9" s="1"/>
  <c r="H93" i="9"/>
  <c r="I93" i="9"/>
  <c r="J93" i="9"/>
  <c r="K93" i="9"/>
  <c r="M93" i="9"/>
  <c r="L93" i="9"/>
  <c r="F94" i="9"/>
  <c r="G94" i="9" s="1"/>
  <c r="H94" i="9"/>
  <c r="I94" i="9"/>
  <c r="J94" i="9"/>
  <c r="K94" i="9"/>
  <c r="M94" i="9"/>
  <c r="L94" i="9"/>
  <c r="F95" i="9"/>
  <c r="G95" i="9" s="1"/>
  <c r="H95" i="9"/>
  <c r="I95" i="9"/>
  <c r="J95" i="9"/>
  <c r="K95" i="9"/>
  <c r="M95" i="9"/>
  <c r="L95" i="9"/>
  <c r="F96" i="9"/>
  <c r="G96" i="9" s="1"/>
  <c r="H96" i="9"/>
  <c r="I96" i="9"/>
  <c r="J96" i="9"/>
  <c r="K96" i="9"/>
  <c r="M96" i="9"/>
  <c r="L96" i="9"/>
  <c r="F97" i="9"/>
  <c r="G97" i="9" s="1"/>
  <c r="H97" i="9"/>
  <c r="I97" i="9"/>
  <c r="J97" i="9"/>
  <c r="K97" i="9"/>
  <c r="M97" i="9"/>
  <c r="L97" i="9"/>
  <c r="L32" i="9"/>
  <c r="M32" i="9"/>
  <c r="K32" i="9"/>
  <c r="J32" i="9"/>
  <c r="I32" i="9"/>
  <c r="H32" i="9"/>
  <c r="F32" i="9"/>
  <c r="G32" i="9" s="1"/>
  <c r="F3" i="9"/>
  <c r="G3" i="9" s="1"/>
  <c r="H3" i="9"/>
  <c r="I3" i="9"/>
  <c r="J3" i="9"/>
  <c r="K3" i="9"/>
  <c r="M3" i="9"/>
  <c r="L3" i="9"/>
  <c r="L2" i="9"/>
  <c r="M2" i="9"/>
  <c r="K2" i="9"/>
  <c r="J2" i="9"/>
  <c r="I2" i="9"/>
  <c r="H2" i="9"/>
  <c r="F2" i="9"/>
  <c r="G2" i="9" s="1"/>
  <c r="F560" i="9"/>
  <c r="G560" i="9" s="1"/>
  <c r="H560" i="9"/>
  <c r="I560" i="9"/>
  <c r="J560" i="9"/>
  <c r="K560" i="9"/>
  <c r="M560" i="9"/>
  <c r="L560" i="9"/>
  <c r="F561" i="9"/>
  <c r="G561" i="9" s="1"/>
  <c r="H561" i="9"/>
  <c r="I561" i="9"/>
  <c r="J561" i="9"/>
  <c r="K561" i="9"/>
  <c r="M561" i="9"/>
  <c r="L561" i="9"/>
  <c r="F562" i="9"/>
  <c r="G562" i="9" s="1"/>
  <c r="H562" i="9"/>
  <c r="I562" i="9"/>
  <c r="J562" i="9"/>
  <c r="K562" i="9"/>
  <c r="M562" i="9"/>
  <c r="L562" i="9"/>
  <c r="F563" i="9"/>
  <c r="G563" i="9" s="1"/>
  <c r="H563" i="9"/>
  <c r="I563" i="9"/>
  <c r="J563" i="9"/>
  <c r="K563" i="9"/>
  <c r="M563" i="9"/>
  <c r="L563" i="9"/>
  <c r="F564" i="9"/>
  <c r="G564" i="9" s="1"/>
  <c r="H564" i="9"/>
  <c r="I564" i="9"/>
  <c r="J564" i="9"/>
  <c r="K564" i="9"/>
  <c r="M564" i="9"/>
  <c r="L564" i="9"/>
  <c r="F565" i="9"/>
  <c r="G565" i="9" s="1"/>
  <c r="H565" i="9"/>
  <c r="I565" i="9"/>
  <c r="J565" i="9"/>
  <c r="K565" i="9"/>
  <c r="M565" i="9"/>
  <c r="L565" i="9"/>
  <c r="F566" i="9"/>
  <c r="G566" i="9" s="1"/>
  <c r="H566" i="9"/>
  <c r="I566" i="9"/>
  <c r="J566" i="9"/>
  <c r="K566" i="9"/>
  <c r="M566" i="9"/>
  <c r="L566" i="9"/>
  <c r="F567" i="9"/>
  <c r="G567" i="9" s="1"/>
  <c r="H567" i="9"/>
  <c r="I567" i="9"/>
  <c r="J567" i="9"/>
  <c r="K567" i="9"/>
  <c r="M567" i="9"/>
  <c r="L567" i="9"/>
  <c r="F568" i="9"/>
  <c r="G568" i="9" s="1"/>
  <c r="H568" i="9"/>
  <c r="I568" i="9"/>
  <c r="J568" i="9"/>
  <c r="K568" i="9"/>
  <c r="M568" i="9"/>
  <c r="L568" i="9"/>
  <c r="F569" i="9"/>
  <c r="G569" i="9" s="1"/>
  <c r="H569" i="9"/>
  <c r="I569" i="9"/>
  <c r="J569" i="9"/>
  <c r="K569" i="9"/>
  <c r="M569" i="9"/>
  <c r="L569" i="9"/>
  <c r="F570" i="9"/>
  <c r="G570" i="9" s="1"/>
  <c r="H570" i="9"/>
  <c r="I570" i="9"/>
  <c r="J570" i="9"/>
  <c r="K570" i="9"/>
  <c r="M570" i="9"/>
  <c r="L570" i="9"/>
  <c r="F571" i="9"/>
  <c r="G571" i="9" s="1"/>
  <c r="H571" i="9"/>
  <c r="I571" i="9"/>
  <c r="J571" i="9"/>
  <c r="K571" i="9"/>
  <c r="M571" i="9"/>
  <c r="L571" i="9"/>
  <c r="F572" i="9"/>
  <c r="G572" i="9" s="1"/>
  <c r="H572" i="9"/>
  <c r="I572" i="9"/>
  <c r="J572" i="9"/>
  <c r="K572" i="9"/>
  <c r="M572" i="9"/>
  <c r="L572" i="9"/>
  <c r="F573" i="9"/>
  <c r="G573" i="9" s="1"/>
  <c r="H573" i="9"/>
  <c r="I573" i="9"/>
  <c r="J573" i="9"/>
  <c r="K573" i="9"/>
  <c r="M573" i="9"/>
  <c r="L573" i="9"/>
  <c r="F574" i="9"/>
  <c r="G574" i="9" s="1"/>
  <c r="H574" i="9"/>
  <c r="I574" i="9"/>
  <c r="J574" i="9"/>
  <c r="K574" i="9"/>
  <c r="M574" i="9"/>
  <c r="L574" i="9"/>
  <c r="F575" i="9"/>
  <c r="G575" i="9" s="1"/>
  <c r="H575" i="9"/>
  <c r="I575" i="9"/>
  <c r="J575" i="9"/>
  <c r="K575" i="9"/>
  <c r="M575" i="9"/>
  <c r="L575" i="9"/>
  <c r="F576" i="9"/>
  <c r="G576" i="9" s="1"/>
  <c r="H576" i="9"/>
  <c r="I576" i="9"/>
  <c r="J576" i="9"/>
  <c r="K576" i="9"/>
  <c r="M576" i="9"/>
  <c r="L576" i="9"/>
  <c r="F577" i="9"/>
  <c r="G577" i="9" s="1"/>
  <c r="H577" i="9"/>
  <c r="I577" i="9"/>
  <c r="J577" i="9"/>
  <c r="K577" i="9"/>
  <c r="M577" i="9"/>
  <c r="L577" i="9"/>
  <c r="F578" i="9"/>
  <c r="G578" i="9" s="1"/>
  <c r="H578" i="9"/>
  <c r="I578" i="9"/>
  <c r="J578" i="9"/>
  <c r="K578" i="9"/>
  <c r="M578" i="9"/>
  <c r="L578" i="9"/>
  <c r="F579" i="9"/>
  <c r="G579" i="9" s="1"/>
  <c r="H579" i="9"/>
  <c r="I579" i="9"/>
  <c r="J579" i="9"/>
  <c r="K579" i="9"/>
  <c r="M579" i="9"/>
  <c r="L579" i="9"/>
  <c r="F580" i="9"/>
  <c r="G580" i="9" s="1"/>
  <c r="H580" i="9"/>
  <c r="I580" i="9"/>
  <c r="J580" i="9"/>
  <c r="K580" i="9"/>
  <c r="M580" i="9"/>
  <c r="L580" i="9"/>
  <c r="F581" i="9"/>
  <c r="G581" i="9" s="1"/>
  <c r="H581" i="9"/>
  <c r="I581" i="9"/>
  <c r="J581" i="9"/>
  <c r="K581" i="9"/>
  <c r="M581" i="9"/>
  <c r="L581" i="9"/>
  <c r="F582" i="9"/>
  <c r="G582" i="9" s="1"/>
  <c r="H582" i="9"/>
  <c r="I582" i="9"/>
  <c r="J582" i="9"/>
  <c r="K582" i="9"/>
  <c r="M582" i="9"/>
  <c r="L582" i="9"/>
  <c r="F583" i="9"/>
  <c r="G583" i="9" s="1"/>
  <c r="H583" i="9"/>
  <c r="I583" i="9"/>
  <c r="J583" i="9"/>
  <c r="K583" i="9"/>
  <c r="M583" i="9"/>
  <c r="L583" i="9"/>
  <c r="F584" i="9"/>
  <c r="G584" i="9" s="1"/>
  <c r="H584" i="9"/>
  <c r="I584" i="9"/>
  <c r="J584" i="9"/>
  <c r="K584" i="9"/>
  <c r="M584" i="9"/>
  <c r="L584" i="9"/>
  <c r="F585" i="9"/>
  <c r="G585" i="9" s="1"/>
  <c r="H585" i="9"/>
  <c r="I585" i="9"/>
  <c r="J585" i="9"/>
  <c r="K585" i="9"/>
  <c r="M585" i="9"/>
  <c r="L585" i="9"/>
  <c r="F586" i="9"/>
  <c r="G586" i="9" s="1"/>
  <c r="H586" i="9"/>
  <c r="I586" i="9"/>
  <c r="J586" i="9"/>
  <c r="K586" i="9"/>
  <c r="M586" i="9"/>
  <c r="L586" i="9"/>
  <c r="F587" i="9"/>
  <c r="G587" i="9" s="1"/>
  <c r="H587" i="9"/>
  <c r="I587" i="9"/>
  <c r="J587" i="9"/>
  <c r="K587" i="9"/>
  <c r="M587" i="9"/>
  <c r="L587" i="9"/>
  <c r="F588" i="9"/>
  <c r="G588" i="9" s="1"/>
  <c r="H588" i="9"/>
  <c r="I588" i="9"/>
  <c r="J588" i="9"/>
  <c r="K588" i="9"/>
  <c r="M588" i="9"/>
  <c r="L588" i="9"/>
  <c r="F589" i="9"/>
  <c r="G589" i="9" s="1"/>
  <c r="H589" i="9"/>
  <c r="I589" i="9"/>
  <c r="J589" i="9"/>
  <c r="K589" i="9"/>
  <c r="M589" i="9"/>
  <c r="L589" i="9"/>
  <c r="F590" i="9"/>
  <c r="G590" i="9" s="1"/>
  <c r="H590" i="9"/>
  <c r="I590" i="9"/>
  <c r="J590" i="9"/>
  <c r="K590" i="9"/>
  <c r="M590" i="9"/>
  <c r="L590" i="9"/>
  <c r="F591" i="9"/>
  <c r="G591" i="9" s="1"/>
  <c r="H591" i="9"/>
  <c r="I591" i="9"/>
  <c r="J591" i="9"/>
  <c r="K591" i="9"/>
  <c r="M591" i="9"/>
  <c r="L591" i="9"/>
  <c r="F592" i="9"/>
  <c r="G592" i="9" s="1"/>
  <c r="H592" i="9"/>
  <c r="I592" i="9"/>
  <c r="J592" i="9"/>
  <c r="K592" i="9"/>
  <c r="M592" i="9"/>
  <c r="L592" i="9"/>
  <c r="F593" i="9"/>
  <c r="G593" i="9" s="1"/>
  <c r="H593" i="9"/>
  <c r="I593" i="9"/>
  <c r="J593" i="9"/>
  <c r="K593" i="9"/>
  <c r="M593" i="9"/>
  <c r="L593" i="9"/>
  <c r="F594" i="9"/>
  <c r="G594" i="9" s="1"/>
  <c r="H594" i="9"/>
  <c r="I594" i="9"/>
  <c r="J594" i="9"/>
  <c r="K594" i="9"/>
  <c r="M594" i="9"/>
  <c r="L594" i="9"/>
  <c r="F595" i="9"/>
  <c r="G595" i="9" s="1"/>
  <c r="H595" i="9"/>
  <c r="I595" i="9"/>
  <c r="J595" i="9"/>
  <c r="K595" i="9"/>
  <c r="M595" i="9"/>
  <c r="L595" i="9"/>
  <c r="F596" i="9"/>
  <c r="G596" i="9" s="1"/>
  <c r="H596" i="9"/>
  <c r="I596" i="9"/>
  <c r="J596" i="9"/>
  <c r="K596" i="9"/>
  <c r="M596" i="9"/>
  <c r="L596" i="9"/>
  <c r="F597" i="9"/>
  <c r="G597" i="9" s="1"/>
  <c r="H597" i="9"/>
  <c r="I597" i="9"/>
  <c r="J597" i="9"/>
  <c r="K597" i="9"/>
  <c r="M597" i="9"/>
  <c r="L597" i="9"/>
  <c r="F598" i="9"/>
  <c r="G598" i="9" s="1"/>
  <c r="H598" i="9"/>
  <c r="I598" i="9"/>
  <c r="J598" i="9"/>
  <c r="K598" i="9"/>
  <c r="M598" i="9"/>
  <c r="L598" i="9"/>
  <c r="F599" i="9"/>
  <c r="G599" i="9" s="1"/>
  <c r="H599" i="9"/>
  <c r="I599" i="9"/>
  <c r="J599" i="9"/>
  <c r="K599" i="9"/>
  <c r="M599" i="9"/>
  <c r="L599" i="9"/>
  <c r="F600" i="9"/>
  <c r="G600" i="9" s="1"/>
  <c r="H600" i="9"/>
  <c r="I600" i="9"/>
  <c r="J600" i="9"/>
  <c r="K600" i="9"/>
  <c r="M600" i="9"/>
  <c r="L600" i="9"/>
  <c r="F601" i="9"/>
  <c r="G601" i="9" s="1"/>
  <c r="H601" i="9"/>
  <c r="I601" i="9"/>
  <c r="J601" i="9"/>
  <c r="K601" i="9"/>
  <c r="M601" i="9"/>
  <c r="L601" i="9"/>
  <c r="F602" i="9"/>
  <c r="G602" i="9" s="1"/>
  <c r="H602" i="9"/>
  <c r="I602" i="9"/>
  <c r="J602" i="9"/>
  <c r="K602" i="9"/>
  <c r="M602" i="9"/>
  <c r="L602" i="9"/>
  <c r="F603" i="9"/>
  <c r="G603" i="9" s="1"/>
  <c r="H603" i="9"/>
  <c r="I603" i="9"/>
  <c r="J603" i="9"/>
  <c r="K603" i="9"/>
  <c r="M603" i="9"/>
  <c r="L603" i="9"/>
  <c r="F604" i="9"/>
  <c r="G604" i="9" s="1"/>
  <c r="H604" i="9"/>
  <c r="I604" i="9"/>
  <c r="J604" i="9"/>
  <c r="K604" i="9"/>
  <c r="M604" i="9"/>
  <c r="L604" i="9"/>
  <c r="F605" i="9"/>
  <c r="G605" i="9" s="1"/>
  <c r="H605" i="9"/>
  <c r="I605" i="9"/>
  <c r="J605" i="9"/>
  <c r="K605" i="9"/>
  <c r="M605" i="9"/>
  <c r="L605" i="9"/>
  <c r="F606" i="9"/>
  <c r="G606" i="9" s="1"/>
  <c r="H606" i="9"/>
  <c r="I606" i="9"/>
  <c r="J606" i="9"/>
  <c r="K606" i="9"/>
  <c r="M606" i="9"/>
  <c r="L606" i="9"/>
  <c r="F607" i="9"/>
  <c r="G607" i="9" s="1"/>
  <c r="H607" i="9"/>
  <c r="I607" i="9"/>
  <c r="J607" i="9"/>
  <c r="K607" i="9"/>
  <c r="M607" i="9"/>
  <c r="L607" i="9"/>
  <c r="F608" i="9"/>
  <c r="G608" i="9" s="1"/>
  <c r="H608" i="9"/>
  <c r="I608" i="9"/>
  <c r="J608" i="9"/>
  <c r="K608" i="9"/>
  <c r="M608" i="9"/>
  <c r="L608" i="9"/>
  <c r="F609" i="9"/>
  <c r="G609" i="9" s="1"/>
  <c r="H609" i="9"/>
  <c r="I609" i="9"/>
  <c r="J609" i="9"/>
  <c r="K609" i="9"/>
  <c r="M609" i="9"/>
  <c r="L609" i="9"/>
  <c r="F610" i="9"/>
  <c r="G610" i="9" s="1"/>
  <c r="H610" i="9"/>
  <c r="I610" i="9"/>
  <c r="J610" i="9"/>
  <c r="K610" i="9"/>
  <c r="M610" i="9"/>
  <c r="L610" i="9"/>
  <c r="F611" i="9"/>
  <c r="G611" i="9" s="1"/>
  <c r="H611" i="9"/>
  <c r="I611" i="9"/>
  <c r="J611" i="9"/>
  <c r="K611" i="9"/>
  <c r="M611" i="9"/>
  <c r="L611" i="9"/>
  <c r="F612" i="9"/>
  <c r="G612" i="9" s="1"/>
  <c r="H612" i="9"/>
  <c r="I612" i="9"/>
  <c r="J612" i="9"/>
  <c r="K612" i="9"/>
  <c r="M612" i="9"/>
  <c r="L612" i="9"/>
  <c r="F613" i="9"/>
  <c r="G613" i="9" s="1"/>
  <c r="H613" i="9"/>
  <c r="I613" i="9"/>
  <c r="J613" i="9"/>
  <c r="K613" i="9"/>
  <c r="M613" i="9"/>
  <c r="L613" i="9"/>
  <c r="F614" i="9"/>
  <c r="G614" i="9" s="1"/>
  <c r="H614" i="9"/>
  <c r="I614" i="9"/>
  <c r="J614" i="9"/>
  <c r="K614" i="9"/>
  <c r="M614" i="9"/>
  <c r="L614" i="9"/>
  <c r="F615" i="9"/>
  <c r="G615" i="9" s="1"/>
  <c r="H615" i="9"/>
  <c r="I615" i="9"/>
  <c r="J615" i="9"/>
  <c r="K615" i="9"/>
  <c r="M615" i="9"/>
  <c r="L615" i="9"/>
  <c r="F616" i="9"/>
  <c r="G616" i="9" s="1"/>
  <c r="H616" i="9"/>
  <c r="I616" i="9"/>
  <c r="J616" i="9"/>
  <c r="K616" i="9"/>
  <c r="M616" i="9"/>
  <c r="L616" i="9"/>
  <c r="F617" i="9"/>
  <c r="G617" i="9" s="1"/>
  <c r="H617" i="9"/>
  <c r="I617" i="9"/>
  <c r="J617" i="9"/>
  <c r="K617" i="9"/>
  <c r="M617" i="9"/>
  <c r="L617" i="9"/>
  <c r="F618" i="9"/>
  <c r="G618" i="9" s="1"/>
  <c r="H618" i="9"/>
  <c r="I618" i="9"/>
  <c r="J618" i="9"/>
  <c r="K618" i="9"/>
  <c r="M618" i="9"/>
  <c r="L618" i="9"/>
  <c r="F619" i="9"/>
  <c r="G619" i="9" s="1"/>
  <c r="H619" i="9"/>
  <c r="I619" i="9"/>
  <c r="J619" i="9"/>
  <c r="K619" i="9"/>
  <c r="M619" i="9"/>
  <c r="L619" i="9"/>
  <c r="F620" i="9"/>
  <c r="G620" i="9" s="1"/>
  <c r="H620" i="9"/>
  <c r="I620" i="9"/>
  <c r="J620" i="9"/>
  <c r="K620" i="9"/>
  <c r="M620" i="9"/>
  <c r="L620" i="9"/>
  <c r="F621" i="9"/>
  <c r="G621" i="9" s="1"/>
  <c r="H621" i="9"/>
  <c r="I621" i="9"/>
  <c r="J621" i="9"/>
  <c r="K621" i="9"/>
  <c r="M621" i="9"/>
  <c r="L621" i="9"/>
  <c r="F622" i="9"/>
  <c r="G622" i="9" s="1"/>
  <c r="H622" i="9"/>
  <c r="I622" i="9"/>
  <c r="J622" i="9"/>
  <c r="K622" i="9"/>
  <c r="M622" i="9"/>
  <c r="L622" i="9"/>
  <c r="F623" i="9"/>
  <c r="G623" i="9" s="1"/>
  <c r="H623" i="9"/>
  <c r="I623" i="9"/>
  <c r="J623" i="9"/>
  <c r="K623" i="9"/>
  <c r="M623" i="9"/>
  <c r="L623" i="9"/>
  <c r="F624" i="9"/>
  <c r="G624" i="9" s="1"/>
  <c r="H624" i="9"/>
  <c r="I624" i="9"/>
  <c r="J624" i="9"/>
  <c r="K624" i="9"/>
  <c r="M624" i="9"/>
  <c r="L624" i="9"/>
  <c r="F625" i="9"/>
  <c r="G625" i="9" s="1"/>
  <c r="H625" i="9"/>
  <c r="I625" i="9"/>
  <c r="J625" i="9"/>
  <c r="K625" i="9"/>
  <c r="M625" i="9"/>
  <c r="L625" i="9"/>
  <c r="F626" i="9"/>
  <c r="G626" i="9" s="1"/>
  <c r="H626" i="9"/>
  <c r="I626" i="9"/>
  <c r="J626" i="9"/>
  <c r="K626" i="9"/>
  <c r="M626" i="9"/>
  <c r="L626" i="9"/>
  <c r="F627" i="9"/>
  <c r="G627" i="9" s="1"/>
  <c r="H627" i="9"/>
  <c r="I627" i="9"/>
  <c r="J627" i="9"/>
  <c r="K627" i="9"/>
  <c r="M627" i="9"/>
  <c r="L627" i="9"/>
  <c r="F628" i="9"/>
  <c r="G628" i="9" s="1"/>
  <c r="H628" i="9"/>
  <c r="I628" i="9"/>
  <c r="J628" i="9"/>
  <c r="K628" i="9"/>
  <c r="M628" i="9"/>
  <c r="L628" i="9"/>
  <c r="F629" i="9"/>
  <c r="G629" i="9" s="1"/>
  <c r="H629" i="9"/>
  <c r="I629" i="9"/>
  <c r="J629" i="9"/>
  <c r="K629" i="9"/>
  <c r="M629" i="9"/>
  <c r="L629" i="9"/>
  <c r="F630" i="9"/>
  <c r="G630" i="9" s="1"/>
  <c r="H630" i="9"/>
  <c r="I630" i="9"/>
  <c r="J630" i="9"/>
  <c r="K630" i="9"/>
  <c r="M630" i="9"/>
  <c r="L630" i="9"/>
  <c r="F631" i="9"/>
  <c r="G631" i="9" s="1"/>
  <c r="H631" i="9"/>
  <c r="I631" i="9"/>
  <c r="J631" i="9"/>
  <c r="K631" i="9"/>
  <c r="M631" i="9"/>
  <c r="L631" i="9"/>
  <c r="F632" i="9"/>
  <c r="G632" i="9" s="1"/>
  <c r="H632" i="9"/>
  <c r="I632" i="9"/>
  <c r="J632" i="9"/>
  <c r="K632" i="9"/>
  <c r="M632" i="9"/>
  <c r="L632" i="9"/>
  <c r="F633" i="9"/>
  <c r="G633" i="9" s="1"/>
  <c r="H633" i="9"/>
  <c r="I633" i="9"/>
  <c r="J633" i="9"/>
  <c r="K633" i="9"/>
  <c r="M633" i="9"/>
  <c r="L633" i="9"/>
  <c r="F634" i="9"/>
  <c r="G634" i="9" s="1"/>
  <c r="H634" i="9"/>
  <c r="I634" i="9"/>
  <c r="J634" i="9"/>
  <c r="K634" i="9"/>
  <c r="M634" i="9"/>
  <c r="L634" i="9"/>
  <c r="F635" i="9"/>
  <c r="G635" i="9" s="1"/>
  <c r="H635" i="9"/>
  <c r="I635" i="9"/>
  <c r="J635" i="9"/>
  <c r="K635" i="9"/>
  <c r="M635" i="9"/>
  <c r="L635" i="9"/>
  <c r="F636" i="9"/>
  <c r="G636" i="9" s="1"/>
  <c r="H636" i="9"/>
  <c r="I636" i="9"/>
  <c r="J636" i="9"/>
  <c r="K636" i="9"/>
  <c r="M636" i="9"/>
  <c r="L636" i="9"/>
  <c r="F637" i="9"/>
  <c r="G637" i="9" s="1"/>
  <c r="H637" i="9"/>
  <c r="I637" i="9"/>
  <c r="J637" i="9"/>
  <c r="K637" i="9"/>
  <c r="M637" i="9"/>
  <c r="L637" i="9"/>
  <c r="F638" i="9"/>
  <c r="G638" i="9" s="1"/>
  <c r="H638" i="9"/>
  <c r="I638" i="9"/>
  <c r="J638" i="9"/>
  <c r="K638" i="9"/>
  <c r="M638" i="9"/>
  <c r="L638" i="9"/>
  <c r="F639" i="9"/>
  <c r="G639" i="9" s="1"/>
  <c r="H639" i="9"/>
  <c r="I639" i="9"/>
  <c r="J639" i="9"/>
  <c r="K639" i="9"/>
  <c r="M639" i="9"/>
  <c r="L639" i="9"/>
  <c r="F640" i="9"/>
  <c r="G640" i="9" s="1"/>
  <c r="H640" i="9"/>
  <c r="I640" i="9"/>
  <c r="J640" i="9"/>
  <c r="K640" i="9"/>
  <c r="M640" i="9"/>
  <c r="L640" i="9"/>
  <c r="F641" i="9"/>
  <c r="G641" i="9" s="1"/>
  <c r="H641" i="9"/>
  <c r="I641" i="9"/>
  <c r="J641" i="9"/>
  <c r="K641" i="9"/>
  <c r="M641" i="9"/>
  <c r="L641" i="9"/>
  <c r="F642" i="9"/>
  <c r="G642" i="9" s="1"/>
  <c r="H642" i="9"/>
  <c r="I642" i="9"/>
  <c r="J642" i="9"/>
  <c r="K642" i="9"/>
  <c r="M642" i="9"/>
  <c r="L642" i="9"/>
  <c r="F643" i="9"/>
  <c r="G643" i="9" s="1"/>
  <c r="H643" i="9"/>
  <c r="I643" i="9"/>
  <c r="J643" i="9"/>
  <c r="K643" i="9"/>
  <c r="M643" i="9"/>
  <c r="L643" i="9"/>
  <c r="F644" i="9"/>
  <c r="G644" i="9" s="1"/>
  <c r="H644" i="9"/>
  <c r="I644" i="9"/>
  <c r="J644" i="9"/>
  <c r="K644" i="9"/>
  <c r="M644" i="9"/>
  <c r="L644" i="9"/>
  <c r="F645" i="9"/>
  <c r="G645" i="9" s="1"/>
  <c r="H645" i="9"/>
  <c r="I645" i="9"/>
  <c r="J645" i="9"/>
  <c r="K645" i="9"/>
  <c r="M645" i="9"/>
  <c r="L645" i="9"/>
  <c r="F646" i="9"/>
  <c r="G646" i="9" s="1"/>
  <c r="H646" i="9"/>
  <c r="I646" i="9"/>
  <c r="J646" i="9"/>
  <c r="K646" i="9"/>
  <c r="M646" i="9"/>
  <c r="L646" i="9"/>
  <c r="F647" i="9"/>
  <c r="G647" i="9" s="1"/>
  <c r="H647" i="9"/>
  <c r="I647" i="9"/>
  <c r="J647" i="9"/>
  <c r="K647" i="9"/>
  <c r="M647" i="9"/>
  <c r="L647" i="9"/>
  <c r="F648" i="9"/>
  <c r="G648" i="9" s="1"/>
  <c r="H648" i="9"/>
  <c r="I648" i="9"/>
  <c r="J648" i="9"/>
  <c r="K648" i="9"/>
  <c r="M648" i="9"/>
  <c r="L648" i="9"/>
  <c r="F649" i="9"/>
  <c r="G649" i="9" s="1"/>
  <c r="H649" i="9"/>
  <c r="I649" i="9"/>
  <c r="J649" i="9"/>
  <c r="K649" i="9"/>
  <c r="M649" i="9"/>
  <c r="L649" i="9"/>
  <c r="F650" i="9"/>
  <c r="G650" i="9" s="1"/>
  <c r="H650" i="9"/>
  <c r="I650" i="9"/>
  <c r="J650" i="9"/>
  <c r="K650" i="9"/>
  <c r="M650" i="9"/>
  <c r="L650" i="9"/>
  <c r="F651" i="9"/>
  <c r="G651" i="9" s="1"/>
  <c r="H651" i="9"/>
  <c r="I651" i="9"/>
  <c r="J651" i="9"/>
  <c r="K651" i="9"/>
  <c r="M651" i="9"/>
  <c r="L651" i="9"/>
  <c r="F652" i="9"/>
  <c r="G652" i="9" s="1"/>
  <c r="H652" i="9"/>
  <c r="I652" i="9"/>
  <c r="J652" i="9"/>
  <c r="K652" i="9"/>
  <c r="M652" i="9"/>
  <c r="L652" i="9"/>
  <c r="F653" i="9"/>
  <c r="G653" i="9" s="1"/>
  <c r="H653" i="9"/>
  <c r="I653" i="9"/>
  <c r="J653" i="9"/>
  <c r="K653" i="9"/>
  <c r="M653" i="9"/>
  <c r="L653" i="9"/>
  <c r="F654" i="9"/>
  <c r="G654" i="9" s="1"/>
  <c r="H654" i="9"/>
  <c r="I654" i="9"/>
  <c r="J654" i="9"/>
  <c r="K654" i="9"/>
  <c r="M654" i="9"/>
  <c r="L654" i="9"/>
  <c r="F655" i="9"/>
  <c r="G655" i="9" s="1"/>
  <c r="H655" i="9"/>
  <c r="I655" i="9"/>
  <c r="J655" i="9"/>
  <c r="K655" i="9"/>
  <c r="M655" i="9"/>
  <c r="L655" i="9"/>
  <c r="F656" i="9"/>
  <c r="G656" i="9" s="1"/>
  <c r="H656" i="9"/>
  <c r="I656" i="9"/>
  <c r="J656" i="9"/>
  <c r="K656" i="9"/>
  <c r="M656" i="9"/>
  <c r="L656" i="9"/>
  <c r="F657" i="9"/>
  <c r="G657" i="9" s="1"/>
  <c r="H657" i="9"/>
  <c r="I657" i="9"/>
  <c r="J657" i="9"/>
  <c r="K657" i="9"/>
  <c r="M657" i="9"/>
  <c r="L657" i="9"/>
  <c r="F658" i="9"/>
  <c r="G658" i="9" s="1"/>
  <c r="H658" i="9"/>
  <c r="I658" i="9"/>
  <c r="J658" i="9"/>
  <c r="K658" i="9"/>
  <c r="M658" i="9"/>
  <c r="L658" i="9"/>
  <c r="F659" i="9"/>
  <c r="G659" i="9" s="1"/>
  <c r="H659" i="9"/>
  <c r="I659" i="9"/>
  <c r="J659" i="9"/>
  <c r="K659" i="9"/>
  <c r="M659" i="9"/>
  <c r="L659" i="9"/>
  <c r="F660" i="9"/>
  <c r="G660" i="9" s="1"/>
  <c r="H660" i="9"/>
  <c r="I660" i="9"/>
  <c r="J660" i="9"/>
  <c r="K660" i="9"/>
  <c r="M660" i="9"/>
  <c r="L660" i="9"/>
  <c r="F661" i="9"/>
  <c r="G661" i="9" s="1"/>
  <c r="H661" i="9"/>
  <c r="I661" i="9"/>
  <c r="J661" i="9"/>
  <c r="K661" i="9"/>
  <c r="M661" i="9"/>
  <c r="L661" i="9"/>
  <c r="F662" i="9"/>
  <c r="G662" i="9" s="1"/>
  <c r="H662" i="9"/>
  <c r="I662" i="9"/>
  <c r="J662" i="9"/>
  <c r="K662" i="9"/>
  <c r="M662" i="9"/>
  <c r="L662" i="9"/>
  <c r="F663" i="9"/>
  <c r="G663" i="9" s="1"/>
  <c r="H663" i="9"/>
  <c r="I663" i="9"/>
  <c r="J663" i="9"/>
  <c r="K663" i="9"/>
  <c r="M663" i="9"/>
  <c r="L663" i="9"/>
  <c r="F664" i="9"/>
  <c r="G664" i="9" s="1"/>
  <c r="H664" i="9"/>
  <c r="I664" i="9"/>
  <c r="J664" i="9"/>
  <c r="K664" i="9"/>
  <c r="M664" i="9"/>
  <c r="L664" i="9"/>
  <c r="F665" i="9"/>
  <c r="G665" i="9" s="1"/>
  <c r="H665" i="9"/>
  <c r="I665" i="9"/>
  <c r="J665" i="9"/>
  <c r="K665" i="9"/>
  <c r="M665" i="9"/>
  <c r="L665" i="9"/>
  <c r="F666" i="9"/>
  <c r="G666" i="9" s="1"/>
  <c r="H666" i="9"/>
  <c r="I666" i="9"/>
  <c r="J666" i="9"/>
  <c r="K666" i="9"/>
  <c r="M666" i="9"/>
  <c r="L666" i="9"/>
  <c r="F667" i="9"/>
  <c r="G667" i="9" s="1"/>
  <c r="H667" i="9"/>
  <c r="I667" i="9"/>
  <c r="J667" i="9"/>
  <c r="K667" i="9"/>
  <c r="M667" i="9"/>
  <c r="L667" i="9"/>
  <c r="F668" i="9"/>
  <c r="G668" i="9" s="1"/>
  <c r="H668" i="9"/>
  <c r="I668" i="9"/>
  <c r="J668" i="9"/>
  <c r="K668" i="9"/>
  <c r="M668" i="9"/>
  <c r="L668" i="9"/>
  <c r="F669" i="9"/>
  <c r="G669" i="9" s="1"/>
  <c r="H669" i="9"/>
  <c r="I669" i="9"/>
  <c r="J669" i="9"/>
  <c r="K669" i="9"/>
  <c r="M669" i="9"/>
  <c r="L669" i="9"/>
  <c r="F670" i="9"/>
  <c r="G670" i="9" s="1"/>
  <c r="H670" i="9"/>
  <c r="I670" i="9"/>
  <c r="J670" i="9"/>
  <c r="K670" i="9"/>
  <c r="M670" i="9"/>
  <c r="L670" i="9"/>
  <c r="F671" i="9"/>
  <c r="G671" i="9" s="1"/>
  <c r="H671" i="9"/>
  <c r="I671" i="9"/>
  <c r="J671" i="9"/>
  <c r="K671" i="9"/>
  <c r="M671" i="9"/>
  <c r="L671" i="9"/>
  <c r="F672" i="9"/>
  <c r="G672" i="9" s="1"/>
  <c r="H672" i="9"/>
  <c r="I672" i="9"/>
  <c r="J672" i="9"/>
  <c r="K672" i="9"/>
  <c r="M672" i="9"/>
  <c r="L672" i="9"/>
  <c r="F673" i="9"/>
  <c r="G673" i="9" s="1"/>
  <c r="H673" i="9"/>
  <c r="I673" i="9"/>
  <c r="J673" i="9"/>
  <c r="K673" i="9"/>
  <c r="M673" i="9"/>
  <c r="L673" i="9"/>
  <c r="F674" i="9"/>
  <c r="G674" i="9" s="1"/>
  <c r="H674" i="9"/>
  <c r="I674" i="9"/>
  <c r="J674" i="9"/>
  <c r="K674" i="9"/>
  <c r="M674" i="9"/>
  <c r="L674" i="9"/>
  <c r="F675" i="9"/>
  <c r="G675" i="9" s="1"/>
  <c r="H675" i="9"/>
  <c r="I675" i="9"/>
  <c r="J675" i="9"/>
  <c r="K675" i="9"/>
  <c r="M675" i="9"/>
  <c r="L675" i="9"/>
  <c r="F676" i="9"/>
  <c r="G676" i="9" s="1"/>
  <c r="H676" i="9"/>
  <c r="I676" i="9"/>
  <c r="J676" i="9"/>
  <c r="K676" i="9"/>
  <c r="M676" i="9"/>
  <c r="L676" i="9"/>
  <c r="F677" i="9"/>
  <c r="G677" i="9" s="1"/>
  <c r="H677" i="9"/>
  <c r="I677" i="9"/>
  <c r="J677" i="9"/>
  <c r="K677" i="9"/>
  <c r="M677" i="9"/>
  <c r="L677" i="9"/>
  <c r="F678" i="9"/>
  <c r="G678" i="9" s="1"/>
  <c r="H678" i="9"/>
  <c r="I678" i="9"/>
  <c r="J678" i="9"/>
  <c r="K678" i="9"/>
  <c r="M678" i="9"/>
  <c r="L678" i="9"/>
  <c r="F679" i="9"/>
  <c r="G679" i="9" s="1"/>
  <c r="H679" i="9"/>
  <c r="I679" i="9"/>
  <c r="J679" i="9"/>
  <c r="K679" i="9"/>
  <c r="M679" i="9"/>
  <c r="L679" i="9"/>
  <c r="F680" i="9"/>
  <c r="G680" i="9" s="1"/>
  <c r="H680" i="9"/>
  <c r="I680" i="9"/>
  <c r="J680" i="9"/>
  <c r="K680" i="9"/>
  <c r="M680" i="9"/>
  <c r="L680" i="9"/>
  <c r="F681" i="9"/>
  <c r="G681" i="9" s="1"/>
  <c r="H681" i="9"/>
  <c r="I681" i="9"/>
  <c r="J681" i="9"/>
  <c r="K681" i="9"/>
  <c r="M681" i="9"/>
  <c r="L681" i="9"/>
  <c r="F682" i="9"/>
  <c r="G682" i="9" s="1"/>
  <c r="H682" i="9"/>
  <c r="I682" i="9"/>
  <c r="J682" i="9"/>
  <c r="K682" i="9"/>
  <c r="M682" i="9"/>
  <c r="L682" i="9"/>
  <c r="F683" i="9"/>
  <c r="G683" i="9" s="1"/>
  <c r="H683" i="9"/>
  <c r="I683" i="9"/>
  <c r="J683" i="9"/>
  <c r="K683" i="9"/>
  <c r="M683" i="9"/>
  <c r="L683" i="9"/>
  <c r="F684" i="9"/>
  <c r="G684" i="9" s="1"/>
  <c r="H684" i="9"/>
  <c r="I684" i="9"/>
  <c r="J684" i="9"/>
  <c r="K684" i="9"/>
  <c r="M684" i="9"/>
  <c r="L684" i="9"/>
  <c r="F685" i="9"/>
  <c r="G685" i="9" s="1"/>
  <c r="H685" i="9"/>
  <c r="I685" i="9"/>
  <c r="J685" i="9"/>
  <c r="K685" i="9"/>
  <c r="M685" i="9"/>
  <c r="L685" i="9"/>
  <c r="F686" i="9"/>
  <c r="G686" i="9" s="1"/>
  <c r="H686" i="9"/>
  <c r="I686" i="9"/>
  <c r="J686" i="9"/>
  <c r="K686" i="9"/>
  <c r="M686" i="9"/>
  <c r="L686" i="9"/>
  <c r="F687" i="9"/>
  <c r="G687" i="9" s="1"/>
  <c r="H687" i="9"/>
  <c r="I687" i="9"/>
  <c r="J687" i="9"/>
  <c r="K687" i="9"/>
  <c r="M687" i="9"/>
  <c r="L687" i="9"/>
  <c r="F688" i="9"/>
  <c r="G688" i="9" s="1"/>
  <c r="H688" i="9"/>
  <c r="I688" i="9"/>
  <c r="J688" i="9"/>
  <c r="K688" i="9"/>
  <c r="M688" i="9"/>
  <c r="L688" i="9"/>
  <c r="F689" i="9"/>
  <c r="G689" i="9" s="1"/>
  <c r="H689" i="9"/>
  <c r="I689" i="9"/>
  <c r="J689" i="9"/>
  <c r="K689" i="9"/>
  <c r="M689" i="9"/>
  <c r="L689" i="9"/>
  <c r="F690" i="9"/>
  <c r="G690" i="9" s="1"/>
  <c r="H690" i="9"/>
  <c r="I690" i="9"/>
  <c r="J690" i="9"/>
  <c r="K690" i="9"/>
  <c r="M690" i="9"/>
  <c r="L690" i="9"/>
  <c r="F691" i="9"/>
  <c r="G691" i="9" s="1"/>
  <c r="H691" i="9"/>
  <c r="I691" i="9"/>
  <c r="J691" i="9"/>
  <c r="K691" i="9"/>
  <c r="M691" i="9"/>
  <c r="L691" i="9"/>
  <c r="F692" i="9"/>
  <c r="G692" i="9" s="1"/>
  <c r="H692" i="9"/>
  <c r="I692" i="9"/>
  <c r="J692" i="9"/>
  <c r="K692" i="9"/>
  <c r="M692" i="9"/>
  <c r="L692" i="9"/>
  <c r="F693" i="9"/>
  <c r="G693" i="9" s="1"/>
  <c r="H693" i="9"/>
  <c r="I693" i="9"/>
  <c r="J693" i="9"/>
  <c r="K693" i="9"/>
  <c r="M693" i="9"/>
  <c r="L693" i="9"/>
  <c r="F694" i="9"/>
  <c r="G694" i="9" s="1"/>
  <c r="H694" i="9"/>
  <c r="I694" i="9"/>
  <c r="J694" i="9"/>
  <c r="K694" i="9"/>
  <c r="M694" i="9"/>
  <c r="L694" i="9"/>
  <c r="F695" i="9"/>
  <c r="G695" i="9" s="1"/>
  <c r="H695" i="9"/>
  <c r="I695" i="9"/>
  <c r="J695" i="9"/>
  <c r="K695" i="9"/>
  <c r="M695" i="9"/>
  <c r="L695" i="9"/>
  <c r="F696" i="9"/>
  <c r="G696" i="9" s="1"/>
  <c r="H696" i="9"/>
  <c r="I696" i="9"/>
  <c r="J696" i="9"/>
  <c r="K696" i="9"/>
  <c r="M696" i="9"/>
  <c r="L696" i="9"/>
  <c r="F697" i="9"/>
  <c r="G697" i="9" s="1"/>
  <c r="H697" i="9"/>
  <c r="I697" i="9"/>
  <c r="J697" i="9"/>
  <c r="K697" i="9"/>
  <c r="M697" i="9"/>
  <c r="L697" i="9"/>
  <c r="F698" i="9"/>
  <c r="G698" i="9" s="1"/>
  <c r="H698" i="9"/>
  <c r="I698" i="9"/>
  <c r="J698" i="9"/>
  <c r="K698" i="9"/>
  <c r="M698" i="9"/>
  <c r="L698" i="9"/>
  <c r="F699" i="9"/>
  <c r="G699" i="9" s="1"/>
  <c r="H699" i="9"/>
  <c r="I699" i="9"/>
  <c r="J699" i="9"/>
  <c r="K699" i="9"/>
  <c r="M699" i="9"/>
  <c r="L699" i="9"/>
  <c r="F700" i="9"/>
  <c r="G700" i="9" s="1"/>
  <c r="H700" i="9"/>
  <c r="I700" i="9"/>
  <c r="J700" i="9"/>
  <c r="K700" i="9"/>
  <c r="M700" i="9"/>
  <c r="L700" i="9"/>
  <c r="F701" i="9"/>
  <c r="G701" i="9" s="1"/>
  <c r="H701" i="9"/>
  <c r="I701" i="9"/>
  <c r="J701" i="9"/>
  <c r="K701" i="9"/>
  <c r="M701" i="9"/>
  <c r="L701" i="9"/>
  <c r="F702" i="9"/>
  <c r="G702" i="9" s="1"/>
  <c r="H702" i="9"/>
  <c r="I702" i="9"/>
  <c r="J702" i="9"/>
  <c r="K702" i="9"/>
  <c r="M702" i="9"/>
  <c r="L702" i="9"/>
  <c r="F703" i="9"/>
  <c r="G703" i="9" s="1"/>
  <c r="H703" i="9"/>
  <c r="I703" i="9"/>
  <c r="J703" i="9"/>
  <c r="K703" i="9"/>
  <c r="M703" i="9"/>
  <c r="L703" i="9"/>
  <c r="F704" i="9"/>
  <c r="G704" i="9" s="1"/>
  <c r="H704" i="9"/>
  <c r="I704" i="9"/>
  <c r="J704" i="9"/>
  <c r="K704" i="9"/>
  <c r="M704" i="9"/>
  <c r="L704" i="9"/>
  <c r="F705" i="9"/>
  <c r="G705" i="9" s="1"/>
  <c r="H705" i="9"/>
  <c r="I705" i="9"/>
  <c r="J705" i="9"/>
  <c r="K705" i="9"/>
  <c r="M705" i="9"/>
  <c r="L705" i="9"/>
  <c r="F706" i="9"/>
  <c r="G706" i="9" s="1"/>
  <c r="H706" i="9"/>
  <c r="I706" i="9"/>
  <c r="J706" i="9"/>
  <c r="K706" i="9"/>
  <c r="M706" i="9"/>
  <c r="L706" i="9"/>
  <c r="F707" i="9"/>
  <c r="G707" i="9" s="1"/>
  <c r="H707" i="9"/>
  <c r="I707" i="9"/>
  <c r="J707" i="9"/>
  <c r="K707" i="9"/>
  <c r="M707" i="9"/>
  <c r="L707" i="9"/>
  <c r="F708" i="9"/>
  <c r="G708" i="9" s="1"/>
  <c r="H708" i="9"/>
  <c r="I708" i="9"/>
  <c r="J708" i="9"/>
  <c r="K708" i="9"/>
  <c r="M708" i="9"/>
  <c r="L708" i="9"/>
  <c r="F709" i="9"/>
  <c r="G709" i="9" s="1"/>
  <c r="H709" i="9"/>
  <c r="I709" i="9"/>
  <c r="J709" i="9"/>
  <c r="K709" i="9"/>
  <c r="M709" i="9"/>
  <c r="L709" i="9"/>
  <c r="F710" i="9"/>
  <c r="G710" i="9" s="1"/>
  <c r="H710" i="9"/>
  <c r="I710" i="9"/>
  <c r="J710" i="9"/>
  <c r="K710" i="9"/>
  <c r="M710" i="9"/>
  <c r="L710" i="9"/>
  <c r="F711" i="9"/>
  <c r="G711" i="9" s="1"/>
  <c r="H711" i="9"/>
  <c r="I711" i="9"/>
  <c r="J711" i="9"/>
  <c r="K711" i="9"/>
  <c r="M711" i="9"/>
  <c r="L711" i="9"/>
  <c r="F712" i="9"/>
  <c r="G712" i="9" s="1"/>
  <c r="H712" i="9"/>
  <c r="I712" i="9"/>
  <c r="J712" i="9"/>
  <c r="K712" i="9"/>
  <c r="M712" i="9"/>
  <c r="L712" i="9"/>
  <c r="F713" i="9"/>
  <c r="G713" i="9" s="1"/>
  <c r="H713" i="9"/>
  <c r="I713" i="9"/>
  <c r="J713" i="9"/>
  <c r="K713" i="9"/>
  <c r="M713" i="9"/>
  <c r="L713" i="9"/>
  <c r="F714" i="9"/>
  <c r="G714" i="9" s="1"/>
  <c r="H714" i="9"/>
  <c r="I714" i="9"/>
  <c r="J714" i="9"/>
  <c r="K714" i="9"/>
  <c r="M714" i="9"/>
  <c r="L714" i="9"/>
  <c r="F715" i="9"/>
  <c r="G715" i="9" s="1"/>
  <c r="H715" i="9"/>
  <c r="I715" i="9"/>
  <c r="J715" i="9"/>
  <c r="K715" i="9"/>
  <c r="M715" i="9"/>
  <c r="L715" i="9"/>
  <c r="F716" i="9"/>
  <c r="G716" i="9" s="1"/>
  <c r="H716" i="9"/>
  <c r="I716" i="9"/>
  <c r="J716" i="9"/>
  <c r="K716" i="9"/>
  <c r="M716" i="9"/>
  <c r="L716" i="9"/>
  <c r="F717" i="9"/>
  <c r="G717" i="9" s="1"/>
  <c r="H717" i="9"/>
  <c r="I717" i="9"/>
  <c r="J717" i="9"/>
  <c r="K717" i="9"/>
  <c r="M717" i="9"/>
  <c r="L717" i="9"/>
  <c r="F718" i="9"/>
  <c r="G718" i="9" s="1"/>
  <c r="H718" i="9"/>
  <c r="I718" i="9"/>
  <c r="J718" i="9"/>
  <c r="K718" i="9"/>
  <c r="M718" i="9"/>
  <c r="L718" i="9"/>
  <c r="F719" i="9"/>
  <c r="G719" i="9" s="1"/>
  <c r="H719" i="9"/>
  <c r="I719" i="9"/>
  <c r="J719" i="9"/>
  <c r="K719" i="9"/>
  <c r="M719" i="9"/>
  <c r="L719" i="9"/>
  <c r="F720" i="9"/>
  <c r="G720" i="9" s="1"/>
  <c r="H720" i="9"/>
  <c r="I720" i="9"/>
  <c r="J720" i="9"/>
  <c r="K720" i="9"/>
  <c r="M720" i="9"/>
  <c r="L720" i="9"/>
  <c r="F721" i="9"/>
  <c r="G721" i="9" s="1"/>
  <c r="H721" i="9"/>
  <c r="I721" i="9"/>
  <c r="J721" i="9"/>
  <c r="K721" i="9"/>
  <c r="M721" i="9"/>
  <c r="L721" i="9"/>
  <c r="F722" i="9"/>
  <c r="G722" i="9" s="1"/>
  <c r="H722" i="9"/>
  <c r="I722" i="9"/>
  <c r="J722" i="9"/>
  <c r="K722" i="9"/>
  <c r="M722" i="9"/>
  <c r="L722" i="9"/>
  <c r="F723" i="9"/>
  <c r="G723" i="9" s="1"/>
  <c r="H723" i="9"/>
  <c r="I723" i="9"/>
  <c r="J723" i="9"/>
  <c r="K723" i="9"/>
  <c r="M723" i="9"/>
  <c r="L723" i="9"/>
  <c r="F724" i="9"/>
  <c r="G724" i="9" s="1"/>
  <c r="H724" i="9"/>
  <c r="I724" i="9"/>
  <c r="J724" i="9"/>
  <c r="K724" i="9"/>
  <c r="M724" i="9"/>
  <c r="L724" i="9"/>
  <c r="F725" i="9"/>
  <c r="G725" i="9" s="1"/>
  <c r="H725" i="9"/>
  <c r="I725" i="9"/>
  <c r="J725" i="9"/>
  <c r="K725" i="9"/>
  <c r="M725" i="9"/>
  <c r="L725" i="9"/>
  <c r="F726" i="9"/>
  <c r="G726" i="9" s="1"/>
  <c r="H726" i="9"/>
  <c r="I726" i="9"/>
  <c r="J726" i="9"/>
  <c r="K726" i="9"/>
  <c r="M726" i="9"/>
  <c r="L726" i="9"/>
  <c r="L559" i="9"/>
  <c r="M559" i="9"/>
  <c r="K559" i="9"/>
  <c r="J559" i="9"/>
  <c r="I559" i="9"/>
  <c r="H559" i="9"/>
  <c r="F559" i="9"/>
  <c r="G559" i="9" s="1"/>
  <c r="H7" i="9"/>
  <c r="I7" i="9"/>
  <c r="J7" i="9"/>
  <c r="K7" i="9"/>
  <c r="M7" i="9"/>
  <c r="L7" i="9"/>
  <c r="H8" i="9"/>
  <c r="I8" i="9"/>
  <c r="J8" i="9"/>
  <c r="K8" i="9"/>
  <c r="M8" i="9"/>
  <c r="L8" i="9"/>
  <c r="H9" i="9"/>
  <c r="I9" i="9"/>
  <c r="J9" i="9"/>
  <c r="K9" i="9"/>
  <c r="M9" i="9"/>
  <c r="L9" i="9"/>
  <c r="H10" i="9"/>
  <c r="I10" i="9"/>
  <c r="J10" i="9"/>
  <c r="K10" i="9"/>
  <c r="M10" i="9"/>
  <c r="L10" i="9"/>
  <c r="H11" i="9"/>
  <c r="I11" i="9"/>
  <c r="J11" i="9"/>
  <c r="K11" i="9"/>
  <c r="M11" i="9"/>
  <c r="L11" i="9"/>
  <c r="H12" i="9"/>
  <c r="I12" i="9"/>
  <c r="J12" i="9"/>
  <c r="K12" i="9"/>
  <c r="M12" i="9"/>
  <c r="L12" i="9"/>
  <c r="H13" i="9"/>
  <c r="I13" i="9"/>
  <c r="J13" i="9"/>
  <c r="K13" i="9"/>
  <c r="M13" i="9"/>
  <c r="L13" i="9"/>
  <c r="H14" i="9"/>
  <c r="I14" i="9"/>
  <c r="J14" i="9"/>
  <c r="K14" i="9"/>
  <c r="M14" i="9"/>
  <c r="L14" i="9"/>
  <c r="H15" i="9"/>
  <c r="I15" i="9"/>
  <c r="J15" i="9"/>
  <c r="K15" i="9"/>
  <c r="M15" i="9"/>
  <c r="L15" i="9"/>
  <c r="H16" i="9"/>
  <c r="I16" i="9"/>
  <c r="J16" i="9"/>
  <c r="K16" i="9"/>
  <c r="M16" i="9"/>
  <c r="L16" i="9"/>
  <c r="H17" i="9"/>
  <c r="I17" i="9"/>
  <c r="J17" i="9"/>
  <c r="K17" i="9"/>
  <c r="M17" i="9"/>
  <c r="L17" i="9"/>
  <c r="H18" i="9"/>
  <c r="I18" i="9"/>
  <c r="J18" i="9"/>
  <c r="K18" i="9"/>
  <c r="M18" i="9"/>
  <c r="L18" i="9"/>
  <c r="H19" i="9"/>
  <c r="I19" i="9"/>
  <c r="J19" i="9"/>
  <c r="K19" i="9"/>
  <c r="M19" i="9"/>
  <c r="L19" i="9"/>
  <c r="H20" i="9"/>
  <c r="I20" i="9"/>
  <c r="J20" i="9"/>
  <c r="K20" i="9"/>
  <c r="M20" i="9"/>
  <c r="L20" i="9"/>
  <c r="H21" i="9"/>
  <c r="I21" i="9"/>
  <c r="J21" i="9"/>
  <c r="K21" i="9"/>
  <c r="M21" i="9"/>
  <c r="L21" i="9"/>
  <c r="H22" i="9"/>
  <c r="I22" i="9"/>
  <c r="J22" i="9"/>
  <c r="K22" i="9"/>
  <c r="M22" i="9"/>
  <c r="L22" i="9"/>
  <c r="H23" i="9"/>
  <c r="I23" i="9"/>
  <c r="J23" i="9"/>
  <c r="K23" i="9"/>
  <c r="M23" i="9"/>
  <c r="L23" i="9"/>
  <c r="H24" i="9"/>
  <c r="I24" i="9"/>
  <c r="J24" i="9"/>
  <c r="K24" i="9"/>
  <c r="M24" i="9"/>
  <c r="L24" i="9"/>
  <c r="H25" i="9"/>
  <c r="I25" i="9"/>
  <c r="J25" i="9"/>
  <c r="K25" i="9"/>
  <c r="M25" i="9"/>
  <c r="L25" i="9"/>
  <c r="H26" i="9"/>
  <c r="I26" i="9"/>
  <c r="J26" i="9"/>
  <c r="K26" i="9"/>
  <c r="M26" i="9"/>
  <c r="L26" i="9"/>
  <c r="H27" i="9"/>
  <c r="I27" i="9"/>
  <c r="J27" i="9"/>
  <c r="K27" i="9"/>
  <c r="M27" i="9"/>
  <c r="L27" i="9"/>
  <c r="H28" i="9"/>
  <c r="I28" i="9"/>
  <c r="J28" i="9"/>
  <c r="K28" i="9"/>
  <c r="M28" i="9"/>
  <c r="L28" i="9"/>
  <c r="H29" i="9"/>
  <c r="I29" i="9"/>
  <c r="J29" i="9"/>
  <c r="K29" i="9"/>
  <c r="M29" i="9"/>
  <c r="L29" i="9"/>
  <c r="L6" i="9"/>
  <c r="M6" i="9"/>
  <c r="K6" i="9"/>
  <c r="J6" i="9"/>
  <c r="I6" i="9"/>
  <c r="H6" i="9"/>
  <c r="F7" i="9"/>
  <c r="G7" i="9" s="1"/>
  <c r="F8" i="9"/>
  <c r="G8" i="9" s="1"/>
  <c r="F9" i="9"/>
  <c r="G9" i="9" s="1"/>
  <c r="F10" i="9"/>
  <c r="G10" i="9" s="1"/>
  <c r="F11" i="9"/>
  <c r="G11" i="9" s="1"/>
  <c r="F12" i="9"/>
  <c r="G12" i="9" s="1"/>
  <c r="F13" i="9"/>
  <c r="G13" i="9" s="1"/>
  <c r="F14" i="9"/>
  <c r="G14" i="9" s="1"/>
  <c r="F15" i="9"/>
  <c r="G15" i="9" s="1"/>
  <c r="F16" i="9"/>
  <c r="G16" i="9" s="1"/>
  <c r="F17" i="9"/>
  <c r="G17" i="9" s="1"/>
  <c r="F18" i="9"/>
  <c r="G18" i="9" s="1"/>
  <c r="F19" i="9"/>
  <c r="G19" i="9" s="1"/>
  <c r="F20" i="9"/>
  <c r="G20" i="9" s="1"/>
  <c r="F21" i="9"/>
  <c r="G21" i="9" s="1"/>
  <c r="F22" i="9"/>
  <c r="G22" i="9" s="1"/>
  <c r="F23" i="9"/>
  <c r="G23" i="9" s="1"/>
  <c r="F24" i="9"/>
  <c r="G24" i="9" s="1"/>
  <c r="F25" i="9"/>
  <c r="G25" i="9" s="1"/>
  <c r="F26" i="9"/>
  <c r="G26" i="9" s="1"/>
  <c r="F27" i="9"/>
  <c r="G27" i="9" s="1"/>
  <c r="F28" i="9"/>
  <c r="G28" i="9" s="1"/>
  <c r="F29" i="9"/>
  <c r="G29" i="9" s="1"/>
  <c r="F6" i="9"/>
  <c r="G6" i="9" s="1"/>
  <c r="H417" i="9"/>
  <c r="I417" i="9"/>
  <c r="J417" i="9"/>
  <c r="K417" i="9"/>
  <c r="M417" i="9"/>
  <c r="L417" i="9"/>
  <c r="H418" i="9"/>
  <c r="I418" i="9"/>
  <c r="J418" i="9"/>
  <c r="K418" i="9"/>
  <c r="M418" i="9"/>
  <c r="L418" i="9"/>
  <c r="H419" i="9"/>
  <c r="I419" i="9"/>
  <c r="J419" i="9"/>
  <c r="K419" i="9"/>
  <c r="M419" i="9"/>
  <c r="L419" i="9"/>
  <c r="H420" i="9"/>
  <c r="I420" i="9"/>
  <c r="J420" i="9"/>
  <c r="K420" i="9"/>
  <c r="M420" i="9"/>
  <c r="L420" i="9"/>
  <c r="H421" i="9"/>
  <c r="I421" i="9"/>
  <c r="J421" i="9"/>
  <c r="K421" i="9"/>
  <c r="M421" i="9"/>
  <c r="L421" i="9"/>
  <c r="H422" i="9"/>
  <c r="I422" i="9"/>
  <c r="J422" i="9"/>
  <c r="K422" i="9"/>
  <c r="M422" i="9"/>
  <c r="L422" i="9"/>
  <c r="H423" i="9"/>
  <c r="I423" i="9"/>
  <c r="J423" i="9"/>
  <c r="K423" i="9"/>
  <c r="M423" i="9"/>
  <c r="L423" i="9"/>
  <c r="H424" i="9"/>
  <c r="I424" i="9"/>
  <c r="J424" i="9"/>
  <c r="K424" i="9"/>
  <c r="M424" i="9"/>
  <c r="L424" i="9"/>
  <c r="H425" i="9"/>
  <c r="I425" i="9"/>
  <c r="J425" i="9"/>
  <c r="K425" i="9"/>
  <c r="M425" i="9"/>
  <c r="L425" i="9"/>
  <c r="H426" i="9"/>
  <c r="I426" i="9"/>
  <c r="J426" i="9"/>
  <c r="K426" i="9"/>
  <c r="M426" i="9"/>
  <c r="L426" i="9"/>
  <c r="F417" i="9"/>
  <c r="G417" i="9" s="1"/>
  <c r="F418" i="9"/>
  <c r="G418" i="9" s="1"/>
  <c r="F419" i="9"/>
  <c r="G419" i="9" s="1"/>
  <c r="F420" i="9"/>
  <c r="G420" i="9" s="1"/>
  <c r="F421" i="9"/>
  <c r="G421" i="9" s="1"/>
  <c r="F422" i="9"/>
  <c r="G422" i="9" s="1"/>
  <c r="F423" i="9"/>
  <c r="G423" i="9" s="1"/>
  <c r="F424" i="9"/>
  <c r="G424" i="9" s="1"/>
  <c r="F425" i="9"/>
  <c r="G425" i="9" s="1"/>
  <c r="F426" i="9"/>
  <c r="G426" i="9" s="1"/>
  <c r="D417" i="9"/>
  <c r="D418" i="9"/>
  <c r="D419" i="9"/>
  <c r="D420" i="9"/>
  <c r="D421" i="9"/>
  <c r="D422" i="9"/>
  <c r="D423" i="9"/>
  <c r="D424" i="9"/>
  <c r="D425" i="9"/>
  <c r="D426" i="9"/>
  <c r="L416" i="9"/>
  <c r="M416" i="9"/>
  <c r="K416" i="9"/>
  <c r="J416" i="9"/>
  <c r="I416" i="9"/>
  <c r="H416" i="9"/>
  <c r="F416" i="9"/>
  <c r="N8" i="1" l="1"/>
  <c r="M19" i="1"/>
  <c r="N11" i="1"/>
  <c r="N7" i="1"/>
  <c r="L4" i="1"/>
  <c r="M17" i="1"/>
  <c r="O8" i="1"/>
  <c r="M25" i="1"/>
  <c r="M15" i="1"/>
  <c r="M10" i="1"/>
  <c r="M6" i="1"/>
  <c r="L5" i="1"/>
  <c r="N25" i="1"/>
  <c r="L22" i="1"/>
  <c r="N19" i="1"/>
  <c r="N17" i="1"/>
  <c r="N15" i="1"/>
  <c r="O13" i="1"/>
  <c r="O11" i="1"/>
  <c r="N10" i="1"/>
  <c r="M9" i="1"/>
  <c r="O7" i="1"/>
  <c r="N6" i="1"/>
  <c r="M5" i="1"/>
  <c r="L21" i="1"/>
  <c r="L13" i="1"/>
  <c r="N4" i="1"/>
  <c r="O25" i="1"/>
  <c r="L24" i="1"/>
  <c r="O19" i="1"/>
  <c r="O17" i="1"/>
  <c r="O15" i="1"/>
  <c r="O14" i="1"/>
  <c r="L12" i="1"/>
  <c r="O10" i="1"/>
  <c r="N9" i="1"/>
  <c r="M8" i="1"/>
  <c r="O6" i="1"/>
  <c r="N5" i="1"/>
  <c r="M4" i="1"/>
  <c r="L25" i="1"/>
  <c r="L20" i="1"/>
  <c r="L19" i="1"/>
  <c r="L17" i="1"/>
  <c r="L15" i="1"/>
  <c r="O12" i="1"/>
  <c r="M11" i="1"/>
  <c r="O9" i="1"/>
  <c r="M7" i="1"/>
  <c r="L6" i="1"/>
  <c r="D815" i="9" l="1"/>
  <c r="D814" i="9"/>
  <c r="D813" i="9"/>
  <c r="D812" i="9"/>
  <c r="D811" i="9"/>
  <c r="D810" i="9"/>
  <c r="D809" i="9"/>
  <c r="D808" i="9"/>
  <c r="D807" i="9"/>
  <c r="D806" i="9"/>
  <c r="D805" i="9"/>
  <c r="D804" i="9"/>
  <c r="D803" i="9"/>
  <c r="D802" i="9"/>
  <c r="D801" i="9"/>
  <c r="D800" i="9"/>
  <c r="D799" i="9"/>
  <c r="D798" i="9"/>
  <c r="D797" i="9"/>
  <c r="D796" i="9"/>
  <c r="D795" i="9"/>
  <c r="D794" i="9"/>
  <c r="D793" i="9"/>
  <c r="D792" i="9"/>
  <c r="D791" i="9"/>
  <c r="D790" i="9"/>
  <c r="D789" i="9"/>
  <c r="D788" i="9"/>
  <c r="D787" i="9"/>
  <c r="D786" i="9"/>
  <c r="D785" i="9"/>
  <c r="D784" i="9"/>
  <c r="D783" i="9"/>
  <c r="D782" i="9"/>
  <c r="D781" i="9"/>
  <c r="D780" i="9"/>
  <c r="D779" i="9"/>
  <c r="D778" i="9"/>
  <c r="D777" i="9"/>
  <c r="D776" i="9"/>
  <c r="D775" i="9"/>
  <c r="D774" i="9"/>
  <c r="D773" i="9"/>
  <c r="D772" i="9"/>
  <c r="D771" i="9"/>
  <c r="D770" i="9"/>
  <c r="D769" i="9"/>
  <c r="D768" i="9"/>
  <c r="D767" i="9"/>
  <c r="D766" i="9"/>
  <c r="D765" i="9"/>
  <c r="D764" i="9"/>
  <c r="D763" i="9"/>
  <c r="D762" i="9"/>
  <c r="D761" i="9"/>
  <c r="D760" i="9"/>
  <c r="D759" i="9"/>
  <c r="D758" i="9"/>
  <c r="D757" i="9"/>
  <c r="D756" i="9"/>
  <c r="D755" i="9"/>
  <c r="D754" i="9"/>
  <c r="D753" i="9"/>
  <c r="D752" i="9"/>
  <c r="D751" i="9"/>
  <c r="D750" i="9"/>
  <c r="D749" i="9"/>
  <c r="D748" i="9"/>
  <c r="D747" i="9"/>
  <c r="D746" i="9"/>
  <c r="D745" i="9"/>
  <c r="D744" i="9"/>
  <c r="D743" i="9"/>
  <c r="D742" i="9"/>
  <c r="D741" i="9"/>
  <c r="D740" i="9"/>
  <c r="D739" i="9"/>
  <c r="D738" i="9"/>
  <c r="D737" i="9"/>
  <c r="D736" i="9"/>
  <c r="D735" i="9"/>
  <c r="D734" i="9"/>
  <c r="D733" i="9"/>
  <c r="D732" i="9"/>
  <c r="D731" i="9"/>
  <c r="D730" i="9"/>
  <c r="D729" i="9"/>
  <c r="D413" i="9"/>
  <c r="D412" i="9"/>
  <c r="D411" i="9"/>
  <c r="D556" i="9"/>
  <c r="D555" i="9"/>
  <c r="D554" i="9"/>
  <c r="D553" i="9"/>
  <c r="D552" i="9"/>
  <c r="D551" i="9"/>
  <c r="D550" i="9"/>
  <c r="D549" i="9"/>
  <c r="D548" i="9"/>
  <c r="D547" i="9"/>
  <c r="D546" i="9"/>
  <c r="D545" i="9"/>
  <c r="D544" i="9"/>
  <c r="D543" i="9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" i="9"/>
  <c r="D2" i="9"/>
  <c r="D726" i="9"/>
  <c r="D725" i="9"/>
  <c r="D724" i="9"/>
  <c r="D723" i="9"/>
  <c r="D722" i="9"/>
  <c r="D721" i="9"/>
  <c r="D720" i="9"/>
  <c r="D719" i="9"/>
  <c r="D718" i="9"/>
  <c r="D717" i="9"/>
  <c r="D716" i="9"/>
  <c r="D715" i="9"/>
  <c r="D714" i="9"/>
  <c r="D713" i="9"/>
  <c r="D712" i="9"/>
  <c r="D711" i="9"/>
  <c r="D710" i="9"/>
  <c r="D709" i="9"/>
  <c r="D708" i="9"/>
  <c r="D707" i="9"/>
  <c r="D706" i="9"/>
  <c r="D705" i="9"/>
  <c r="D704" i="9"/>
  <c r="D703" i="9"/>
  <c r="D702" i="9"/>
  <c r="D701" i="9"/>
  <c r="D700" i="9"/>
  <c r="D699" i="9"/>
  <c r="D698" i="9"/>
  <c r="D697" i="9"/>
  <c r="D696" i="9"/>
  <c r="D695" i="9"/>
  <c r="D694" i="9"/>
  <c r="D693" i="9"/>
  <c r="D692" i="9"/>
  <c r="D691" i="9"/>
  <c r="D690" i="9"/>
  <c r="D689" i="9"/>
  <c r="D688" i="9"/>
  <c r="D687" i="9"/>
  <c r="D686" i="9"/>
  <c r="D685" i="9"/>
  <c r="D684" i="9"/>
  <c r="D683" i="9"/>
  <c r="D682" i="9"/>
  <c r="D681" i="9"/>
  <c r="D680" i="9"/>
  <c r="D679" i="9"/>
  <c r="D678" i="9"/>
  <c r="D677" i="9"/>
  <c r="D676" i="9"/>
  <c r="D675" i="9"/>
  <c r="D674" i="9"/>
  <c r="D673" i="9"/>
  <c r="D672" i="9"/>
  <c r="D671" i="9"/>
  <c r="D670" i="9"/>
  <c r="D669" i="9"/>
  <c r="D668" i="9"/>
  <c r="D667" i="9"/>
  <c r="D666" i="9"/>
  <c r="D665" i="9"/>
  <c r="D664" i="9"/>
  <c r="D663" i="9"/>
  <c r="D662" i="9"/>
  <c r="D661" i="9"/>
  <c r="D660" i="9"/>
  <c r="D659" i="9"/>
  <c r="D658" i="9"/>
  <c r="D657" i="9"/>
  <c r="D656" i="9"/>
  <c r="D655" i="9"/>
  <c r="D654" i="9"/>
  <c r="D653" i="9"/>
  <c r="D652" i="9"/>
  <c r="D651" i="9"/>
  <c r="D650" i="9"/>
  <c r="D649" i="9"/>
  <c r="D648" i="9"/>
  <c r="D647" i="9"/>
  <c r="D646" i="9"/>
  <c r="D645" i="9"/>
  <c r="D644" i="9"/>
  <c r="D643" i="9"/>
  <c r="D642" i="9"/>
  <c r="D641" i="9"/>
  <c r="D640" i="9"/>
  <c r="D639" i="9"/>
  <c r="D638" i="9"/>
  <c r="D637" i="9"/>
  <c r="D636" i="9"/>
  <c r="D635" i="9"/>
  <c r="D634" i="9"/>
  <c r="D633" i="9"/>
  <c r="D632" i="9"/>
  <c r="D631" i="9"/>
  <c r="D630" i="9"/>
  <c r="D629" i="9"/>
  <c r="D628" i="9"/>
  <c r="D627" i="9"/>
  <c r="D626" i="9"/>
  <c r="D625" i="9"/>
  <c r="D624" i="9"/>
  <c r="D623" i="9"/>
  <c r="D622" i="9"/>
  <c r="D621" i="9"/>
  <c r="D620" i="9"/>
  <c r="D619" i="9"/>
  <c r="D618" i="9"/>
  <c r="D617" i="9"/>
  <c r="D616" i="9"/>
  <c r="D615" i="9"/>
  <c r="D614" i="9"/>
  <c r="D613" i="9"/>
  <c r="D612" i="9"/>
  <c r="D611" i="9"/>
  <c r="D610" i="9"/>
  <c r="D609" i="9"/>
  <c r="D608" i="9"/>
  <c r="D607" i="9"/>
  <c r="D606" i="9"/>
  <c r="D605" i="9"/>
  <c r="D604" i="9"/>
  <c r="D603" i="9"/>
  <c r="D602" i="9"/>
  <c r="D601" i="9"/>
  <c r="D600" i="9"/>
  <c r="D599" i="9"/>
  <c r="D598" i="9"/>
  <c r="D597" i="9"/>
  <c r="D596" i="9"/>
  <c r="D595" i="9"/>
  <c r="D594" i="9"/>
  <c r="D593" i="9"/>
  <c r="D592" i="9"/>
  <c r="D591" i="9"/>
  <c r="D590" i="9"/>
  <c r="D589" i="9"/>
  <c r="D588" i="9"/>
  <c r="D587" i="9"/>
  <c r="D586" i="9"/>
  <c r="D585" i="9"/>
  <c r="D584" i="9"/>
  <c r="D583" i="9"/>
  <c r="D582" i="9"/>
  <c r="D581" i="9"/>
  <c r="D580" i="9"/>
  <c r="D579" i="9"/>
  <c r="D578" i="9"/>
  <c r="D577" i="9"/>
  <c r="D576" i="9"/>
  <c r="D575" i="9"/>
  <c r="D574" i="9"/>
  <c r="D573" i="9"/>
  <c r="D572" i="9"/>
  <c r="D571" i="9"/>
  <c r="D570" i="9"/>
  <c r="D569" i="9"/>
  <c r="D568" i="9"/>
  <c r="D567" i="9"/>
  <c r="D566" i="9"/>
  <c r="D565" i="9"/>
  <c r="D564" i="9"/>
  <c r="D563" i="9"/>
  <c r="D562" i="9"/>
  <c r="D561" i="9"/>
  <c r="D560" i="9"/>
  <c r="D559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G416" i="9"/>
  <c r="D416" i="9"/>
  <c r="D21" i="1" l="1"/>
  <c r="D22" i="1" s="1"/>
  <c r="D19" i="1"/>
  <c r="I5" i="3"/>
  <c r="I4" i="3"/>
  <c r="D20" i="3"/>
  <c r="D17" i="3"/>
  <c r="D32" i="3"/>
  <c r="D26" i="3"/>
  <c r="I14" i="3" s="1"/>
  <c r="D15" i="3"/>
  <c r="C41" i="3" s="1"/>
  <c r="E7" i="3"/>
  <c r="C7" i="3"/>
  <c r="E5" i="3"/>
  <c r="C5" i="3"/>
  <c r="D38" i="1"/>
  <c r="D31" i="1"/>
  <c r="E14" i="1"/>
  <c r="E12" i="1"/>
  <c r="C14" i="1"/>
  <c r="C12" i="1"/>
  <c r="D18" i="1"/>
  <c r="D27" i="1" s="1"/>
  <c r="F18" i="2"/>
  <c r="F17" i="2"/>
  <c r="K16" i="2"/>
  <c r="F16" i="2"/>
  <c r="D16" i="2"/>
  <c r="K15" i="2"/>
  <c r="F15" i="2"/>
  <c r="D15" i="2"/>
  <c r="K14" i="2"/>
  <c r="F14" i="2"/>
  <c r="N13" i="2"/>
  <c r="K13" i="2"/>
  <c r="F13" i="2"/>
  <c r="N12" i="2"/>
  <c r="K12" i="2"/>
  <c r="F12" i="2"/>
  <c r="F11" i="2"/>
  <c r="F10" i="2"/>
  <c r="F9" i="2"/>
  <c r="F8" i="2"/>
  <c r="N7" i="2"/>
  <c r="K7" i="2"/>
  <c r="F7" i="2"/>
  <c r="N6" i="2"/>
  <c r="K6" i="2"/>
  <c r="F6" i="2"/>
  <c r="F5" i="2"/>
  <c r="F4" i="2"/>
  <c r="F3" i="2"/>
  <c r="F2" i="2"/>
  <c r="D24" i="1" l="1"/>
  <c r="C51" i="1"/>
  <c r="C47" i="1"/>
  <c r="C49" i="1"/>
  <c r="D51" i="1"/>
  <c r="D25" i="1"/>
  <c r="I15" i="3"/>
  <c r="C36" i="3"/>
  <c r="D34" i="3"/>
  <c r="C30" i="3"/>
  <c r="D28" i="3"/>
  <c r="C43" i="3"/>
  <c r="D43" i="3"/>
  <c r="D44" i="3"/>
  <c r="D49" i="1"/>
  <c r="D50" i="1"/>
  <c r="C50" i="1"/>
  <c r="N448" i="9"/>
  <c r="O448" i="9" s="1"/>
  <c r="P448" i="9" s="1"/>
  <c r="N468" i="9"/>
  <c r="O468" i="9" s="1"/>
  <c r="P468" i="9" s="1"/>
  <c r="N460" i="9"/>
  <c r="O460" i="9" s="1"/>
  <c r="P460" i="9" s="1"/>
  <c r="N464" i="9"/>
  <c r="O464" i="9" s="1"/>
  <c r="P464" i="9" s="1"/>
  <c r="N431" i="9"/>
  <c r="O431" i="9" s="1"/>
  <c r="P431" i="9" s="1"/>
  <c r="N444" i="9"/>
  <c r="O444" i="9" s="1"/>
  <c r="P444" i="9" s="1"/>
  <c r="N432" i="9"/>
  <c r="O432" i="9" s="1"/>
  <c r="P432" i="9" s="1"/>
  <c r="N466" i="9"/>
  <c r="O466" i="9" s="1"/>
  <c r="P466" i="9" s="1"/>
  <c r="N436" i="9"/>
  <c r="O436" i="9" s="1"/>
  <c r="P436" i="9" s="1"/>
  <c r="N467" i="9"/>
  <c r="O467" i="9" s="1"/>
  <c r="P467" i="9" s="1"/>
  <c r="N449" i="9"/>
  <c r="O449" i="9" s="1"/>
  <c r="P449" i="9" s="1"/>
  <c r="N463" i="9"/>
  <c r="O463" i="9" s="1"/>
  <c r="P463" i="9" s="1"/>
  <c r="N440" i="9"/>
  <c r="O440" i="9" s="1"/>
  <c r="P440" i="9" s="1"/>
  <c r="N453" i="9"/>
  <c r="O453" i="9" s="1"/>
  <c r="P453" i="9" s="1"/>
  <c r="N473" i="9"/>
  <c r="O473" i="9" s="1"/>
  <c r="P473" i="9" s="1"/>
  <c r="N446" i="9"/>
  <c r="O446" i="9" s="1"/>
  <c r="P446" i="9" s="1"/>
  <c r="N430" i="9"/>
  <c r="O430" i="9" s="1"/>
  <c r="P430" i="9" s="1"/>
  <c r="N445" i="9"/>
  <c r="O445" i="9" s="1"/>
  <c r="P445" i="9" s="1"/>
  <c r="N443" i="9"/>
  <c r="O443" i="9" s="1"/>
  <c r="P443" i="9" s="1"/>
  <c r="N471" i="9"/>
  <c r="O471" i="9" s="1"/>
  <c r="P471" i="9" s="1"/>
  <c r="N433" i="9"/>
  <c r="O433" i="9" s="1"/>
  <c r="P433" i="9" s="1"/>
  <c r="N442" i="9"/>
  <c r="O442" i="9" s="1"/>
  <c r="P442" i="9" s="1"/>
  <c r="N469" i="9"/>
  <c r="O469" i="9" s="1"/>
  <c r="P469" i="9" s="1"/>
  <c r="N456" i="9"/>
  <c r="O456" i="9" s="1"/>
  <c r="P456" i="9" s="1"/>
  <c r="N439" i="9"/>
  <c r="O439" i="9" s="1"/>
  <c r="P439" i="9" s="1"/>
  <c r="N462" i="9"/>
  <c r="O462" i="9" s="1"/>
  <c r="P462" i="9" s="1"/>
  <c r="N476" i="9"/>
  <c r="O476" i="9" s="1"/>
  <c r="P476" i="9" s="1"/>
  <c r="N459" i="9"/>
  <c r="O459" i="9" s="1"/>
  <c r="P459" i="9" s="1"/>
  <c r="N438" i="9"/>
  <c r="O438" i="9" s="1"/>
  <c r="P438" i="9" s="1"/>
  <c r="N437" i="9"/>
  <c r="O437" i="9" s="1"/>
  <c r="P437" i="9" s="1"/>
  <c r="N441" i="9"/>
  <c r="O441" i="9" s="1"/>
  <c r="P441" i="9" s="1"/>
  <c r="N450" i="9"/>
  <c r="O450" i="9" s="1"/>
  <c r="P450" i="9" s="1"/>
  <c r="N451" i="9"/>
  <c r="O451" i="9" s="1"/>
  <c r="P451" i="9" s="1"/>
  <c r="N474" i="9"/>
  <c r="O474" i="9" s="1"/>
  <c r="P474" i="9" s="1"/>
  <c r="N455" i="9"/>
  <c r="O455" i="9" s="1"/>
  <c r="P455" i="9" s="1"/>
  <c r="N472" i="9"/>
  <c r="O472" i="9" s="1"/>
  <c r="P472" i="9" s="1"/>
  <c r="N452" i="9"/>
  <c r="O452" i="9" s="1"/>
  <c r="P452" i="9" s="1"/>
  <c r="N435" i="9"/>
  <c r="O435" i="9" s="1"/>
  <c r="P435" i="9" s="1"/>
  <c r="N465" i="9"/>
  <c r="O465" i="9" s="1"/>
  <c r="P465" i="9" s="1"/>
  <c r="N458" i="9"/>
  <c r="O458" i="9" s="1"/>
  <c r="P458" i="9" s="1"/>
  <c r="N434" i="9"/>
  <c r="O434" i="9" s="1"/>
  <c r="P434" i="9" s="1"/>
  <c r="N470" i="9"/>
  <c r="O470" i="9" s="1"/>
  <c r="P470" i="9" s="1"/>
  <c r="N475" i="9"/>
  <c r="O475" i="9" s="1"/>
  <c r="P475" i="9" s="1"/>
  <c r="N447" i="9"/>
  <c r="O447" i="9" s="1"/>
  <c r="P447" i="9" s="1"/>
  <c r="N454" i="9"/>
  <c r="O454" i="9" s="1"/>
  <c r="P454" i="9" s="1"/>
  <c r="N461" i="9"/>
  <c r="O461" i="9" s="1"/>
  <c r="P461" i="9" s="1"/>
  <c r="N457" i="9"/>
  <c r="O457" i="9" s="1"/>
  <c r="P457" i="9" s="1"/>
  <c r="D35" i="3"/>
  <c r="D36" i="3"/>
  <c r="D29" i="3"/>
  <c r="D30" i="3"/>
  <c r="D42" i="1"/>
  <c r="D41" i="1"/>
  <c r="E32" i="1"/>
  <c r="D35" i="1"/>
  <c r="D34" i="1"/>
  <c r="C39" i="1"/>
  <c r="N753" i="9"/>
  <c r="O753" i="9" s="1"/>
  <c r="P753" i="9" s="1"/>
  <c r="N515" i="9"/>
  <c r="O515" i="9" s="1"/>
  <c r="P515" i="9" s="1"/>
  <c r="N531" i="9"/>
  <c r="O531" i="9" s="1"/>
  <c r="P531" i="9" s="1"/>
  <c r="N129" i="9"/>
  <c r="O129" i="9" s="1"/>
  <c r="P129" i="9" s="1"/>
  <c r="N395" i="9"/>
  <c r="O395" i="9" s="1"/>
  <c r="P395" i="9" s="1"/>
  <c r="N126" i="9"/>
  <c r="O126" i="9" s="1"/>
  <c r="P126" i="9" s="1"/>
  <c r="N752" i="9"/>
  <c r="O752" i="9" s="1"/>
  <c r="P752" i="9" s="1"/>
  <c r="N238" i="9"/>
  <c r="O238" i="9" s="1"/>
  <c r="P238" i="9" s="1"/>
  <c r="N783" i="9"/>
  <c r="O783" i="9" s="1"/>
  <c r="P783" i="9" s="1"/>
  <c r="N198" i="9"/>
  <c r="O198" i="9" s="1"/>
  <c r="P198" i="9" s="1"/>
  <c r="N777" i="9"/>
  <c r="O777" i="9" s="1"/>
  <c r="P777" i="9" s="1"/>
  <c r="N121" i="9"/>
  <c r="O121" i="9" s="1"/>
  <c r="P121" i="9" s="1"/>
  <c r="N217" i="9"/>
  <c r="O217" i="9" s="1"/>
  <c r="P217" i="9" s="1"/>
  <c r="N216" i="9"/>
  <c r="O216" i="9" s="1"/>
  <c r="P216" i="9" s="1"/>
  <c r="N352" i="9"/>
  <c r="O352" i="9" s="1"/>
  <c r="P352" i="9" s="1"/>
  <c r="N253" i="9"/>
  <c r="O253" i="9" s="1"/>
  <c r="P253" i="9" s="1"/>
  <c r="N799" i="9"/>
  <c r="O799" i="9" s="1"/>
  <c r="P799" i="9" s="1"/>
  <c r="N213" i="9"/>
  <c r="O213" i="9" s="1"/>
  <c r="P213" i="9" s="1"/>
  <c r="N161" i="9"/>
  <c r="O161" i="9" s="1"/>
  <c r="P161" i="9" s="1"/>
  <c r="N401" i="9"/>
  <c r="O401" i="9" s="1"/>
  <c r="P401" i="9" s="1"/>
  <c r="N497" i="9"/>
  <c r="O497" i="9" s="1"/>
  <c r="P497" i="9" s="1"/>
  <c r="N507" i="9"/>
  <c r="O507" i="9" s="1"/>
  <c r="P507" i="9" s="1"/>
  <c r="N795" i="9"/>
  <c r="O795" i="9" s="1"/>
  <c r="P795" i="9" s="1"/>
  <c r="N232" i="9"/>
  <c r="O232" i="9" s="1"/>
  <c r="P232" i="9" s="1"/>
  <c r="N137" i="9"/>
  <c r="O137" i="9" s="1"/>
  <c r="P137" i="9" s="1"/>
  <c r="N286" i="9"/>
  <c r="O286" i="9" s="1"/>
  <c r="P286" i="9" s="1"/>
  <c r="N528" i="9"/>
  <c r="O528" i="9" s="1"/>
  <c r="P528" i="9" s="1"/>
  <c r="N766" i="9"/>
  <c r="O766" i="9" s="1"/>
  <c r="P766" i="9" s="1"/>
  <c r="N292" i="9"/>
  <c r="O292" i="9" s="1"/>
  <c r="P292" i="9" s="1"/>
  <c r="N101" i="9"/>
  <c r="O101" i="9" s="1"/>
  <c r="P101" i="9" s="1"/>
  <c r="N220" i="9"/>
  <c r="O220" i="9" s="1"/>
  <c r="P220" i="9" s="1"/>
  <c r="N164" i="9"/>
  <c r="O164" i="9" s="1"/>
  <c r="P164" i="9" s="1"/>
  <c r="N369" i="9"/>
  <c r="O369" i="9" s="1"/>
  <c r="P369" i="9" s="1"/>
  <c r="N41" i="9"/>
  <c r="O41" i="9" s="1"/>
  <c r="P41" i="9" s="1"/>
  <c r="N191" i="9"/>
  <c r="O191" i="9" s="1"/>
  <c r="P191" i="9" s="1"/>
  <c r="N172" i="9"/>
  <c r="O172" i="9" s="1"/>
  <c r="P172" i="9" s="1"/>
  <c r="N102" i="9"/>
  <c r="O102" i="9" s="1"/>
  <c r="P102" i="9" s="1"/>
  <c r="N737" i="9"/>
  <c r="O737" i="9" s="1"/>
  <c r="P737" i="9" s="1"/>
  <c r="N221" i="9"/>
  <c r="O221" i="9" s="1"/>
  <c r="P221" i="9" s="1"/>
  <c r="N190" i="9"/>
  <c r="O190" i="9" s="1"/>
  <c r="P190" i="9" s="1"/>
  <c r="N154" i="9"/>
  <c r="O154" i="9" s="1"/>
  <c r="P154" i="9" s="1"/>
  <c r="N390" i="9"/>
  <c r="O390" i="9" s="1"/>
  <c r="P390" i="9" s="1"/>
  <c r="N122" i="9"/>
  <c r="O122" i="9" s="1"/>
  <c r="P122" i="9" s="1"/>
  <c r="N393" i="9"/>
  <c r="O393" i="9" s="1"/>
  <c r="P393" i="9" s="1"/>
  <c r="N366" i="9"/>
  <c r="O366" i="9" s="1"/>
  <c r="P366" i="9" s="1"/>
  <c r="N317" i="9"/>
  <c r="O317" i="9" s="1"/>
  <c r="P317" i="9" s="1"/>
  <c r="N804" i="9"/>
  <c r="O804" i="9" s="1"/>
  <c r="P804" i="9" s="1"/>
  <c r="N407" i="9"/>
  <c r="O407" i="9" s="1"/>
  <c r="P407" i="9" s="1"/>
  <c r="N398" i="9"/>
  <c r="O398" i="9" s="1"/>
  <c r="P398" i="9" s="1"/>
  <c r="N344" i="9"/>
  <c r="O344" i="9" s="1"/>
  <c r="P344" i="9" s="1"/>
  <c r="N245" i="9"/>
  <c r="O245" i="9" s="1"/>
  <c r="P245" i="9" s="1"/>
  <c r="N328" i="9"/>
  <c r="O328" i="9" s="1"/>
  <c r="P328" i="9" s="1"/>
  <c r="N297" i="9"/>
  <c r="O297" i="9" s="1"/>
  <c r="P297" i="9" s="1"/>
  <c r="N556" i="9"/>
  <c r="O556" i="9" s="1"/>
  <c r="P556" i="9" s="1"/>
  <c r="N348" i="9"/>
  <c r="O348" i="9" s="1"/>
  <c r="P348" i="9" s="1"/>
  <c r="N294" i="9"/>
  <c r="O294" i="9" s="1"/>
  <c r="P294" i="9" s="1"/>
  <c r="N547" i="9"/>
  <c r="O547" i="9" s="1"/>
  <c r="P547" i="9" s="1"/>
  <c r="N510" i="9"/>
  <c r="O510" i="9" s="1"/>
  <c r="P510" i="9" s="1"/>
  <c r="N792" i="9"/>
  <c r="O792" i="9" s="1"/>
  <c r="P792" i="9" s="1"/>
  <c r="N552" i="9"/>
  <c r="O552" i="9" s="1"/>
  <c r="P552" i="9" s="1"/>
  <c r="N526" i="9"/>
  <c r="O526" i="9" s="1"/>
  <c r="P526" i="9" s="1"/>
  <c r="N810" i="9"/>
  <c r="O810" i="9" s="1"/>
  <c r="P810" i="9" s="1"/>
  <c r="N769" i="9"/>
  <c r="O769" i="9" s="1"/>
  <c r="P769" i="9" s="1"/>
  <c r="N336" i="9"/>
  <c r="O336" i="9" s="1"/>
  <c r="P336" i="9" s="1"/>
  <c r="N301" i="9"/>
  <c r="O301" i="9" s="1"/>
  <c r="P301" i="9" s="1"/>
  <c r="N495" i="9"/>
  <c r="O495" i="9" s="1"/>
  <c r="P495" i="9" s="1"/>
  <c r="N491" i="9"/>
  <c r="O491" i="9" s="1"/>
  <c r="P491" i="9" s="1"/>
  <c r="N486" i="9"/>
  <c r="O486" i="9" s="1"/>
  <c r="P486" i="9" s="1"/>
  <c r="N482" i="9"/>
  <c r="O482" i="9" s="1"/>
  <c r="P482" i="9" s="1"/>
  <c r="N551" i="9"/>
  <c r="O551" i="9" s="1"/>
  <c r="P551" i="9" s="1"/>
  <c r="N536" i="9"/>
  <c r="O536" i="9" s="1"/>
  <c r="P536" i="9" s="1"/>
  <c r="N814" i="9"/>
  <c r="O814" i="9" s="1"/>
  <c r="P814" i="9" s="1"/>
  <c r="N787" i="9"/>
  <c r="O787" i="9" s="1"/>
  <c r="P787" i="9" s="1"/>
  <c r="N765" i="9"/>
  <c r="O765" i="9" s="1"/>
  <c r="P765" i="9" s="1"/>
  <c r="N745" i="9"/>
  <c r="O745" i="9" s="1"/>
  <c r="P745" i="9" s="1"/>
  <c r="N518" i="9"/>
  <c r="O518" i="9" s="1"/>
  <c r="P518" i="9" s="1"/>
  <c r="N809" i="9"/>
  <c r="O809" i="9" s="1"/>
  <c r="P809" i="9" s="1"/>
  <c r="N793" i="9"/>
  <c r="O793" i="9" s="1"/>
  <c r="P793" i="9" s="1"/>
  <c r="N750" i="9"/>
  <c r="O750" i="9" s="1"/>
  <c r="P750" i="9" s="1"/>
  <c r="N772" i="9"/>
  <c r="O772" i="9" s="1"/>
  <c r="P772" i="9" s="1"/>
  <c r="N786" i="9"/>
  <c r="O786" i="9" s="1"/>
  <c r="P786" i="9" s="1"/>
  <c r="N754" i="9"/>
  <c r="O754" i="9" s="1"/>
  <c r="P754" i="9" s="1"/>
  <c r="N738" i="9"/>
  <c r="O738" i="9" s="1"/>
  <c r="P738" i="9" s="1"/>
  <c r="N730" i="9"/>
  <c r="O730" i="9" s="1"/>
  <c r="P730" i="9" s="1"/>
  <c r="N529" i="9"/>
  <c r="O529" i="9" s="1"/>
  <c r="P529" i="9" s="1"/>
  <c r="N332" i="9"/>
  <c r="O332" i="9" s="1"/>
  <c r="P332" i="9" s="1"/>
  <c r="N379" i="9"/>
  <c r="O379" i="9" s="1"/>
  <c r="P379" i="9" s="1"/>
  <c r="N347" i="9"/>
  <c r="O347" i="9" s="1"/>
  <c r="P347" i="9" s="1"/>
  <c r="N760" i="9"/>
  <c r="O760" i="9" s="1"/>
  <c r="P760" i="9" s="1"/>
  <c r="N262" i="9"/>
  <c r="O262" i="9" s="1"/>
  <c r="P262" i="9" s="1"/>
  <c r="N205" i="9"/>
  <c r="O205" i="9" s="1"/>
  <c r="P205" i="9" s="1"/>
  <c r="N181" i="9"/>
  <c r="O181" i="9" s="1"/>
  <c r="P181" i="9" s="1"/>
  <c r="N502" i="9"/>
  <c r="O502" i="9" s="1"/>
  <c r="P502" i="9" s="1"/>
  <c r="N155" i="9"/>
  <c r="O155" i="9" s="1"/>
  <c r="P155" i="9" s="1"/>
  <c r="N289" i="9"/>
  <c r="O289" i="9" s="1"/>
  <c r="P289" i="9" s="1"/>
  <c r="N776" i="9"/>
  <c r="O776" i="9" s="1"/>
  <c r="P776" i="9" s="1"/>
  <c r="N177" i="9"/>
  <c r="O177" i="9" s="1"/>
  <c r="P177" i="9" s="1"/>
  <c r="N118" i="9"/>
  <c r="O118" i="9" s="1"/>
  <c r="P118" i="9" s="1"/>
  <c r="N489" i="9"/>
  <c r="O489" i="9" s="1"/>
  <c r="P489" i="9" s="1"/>
  <c r="N811" i="9"/>
  <c r="O811" i="9" s="1"/>
  <c r="P811" i="9" s="1"/>
  <c r="N134" i="9"/>
  <c r="O134" i="9" s="1"/>
  <c r="P134" i="9" s="1"/>
  <c r="N493" i="9"/>
  <c r="O493" i="9" s="1"/>
  <c r="P493" i="9" s="1"/>
  <c r="N773" i="9"/>
  <c r="O773" i="9" s="1"/>
  <c r="P773" i="9" s="1"/>
  <c r="N270" i="9"/>
  <c r="O270" i="9" s="1"/>
  <c r="P270" i="9" s="1"/>
  <c r="N229" i="9"/>
  <c r="O229" i="9" s="1"/>
  <c r="P229" i="9" s="1"/>
  <c r="N174" i="9"/>
  <c r="O174" i="9" s="1"/>
  <c r="P174" i="9" s="1"/>
  <c r="N105" i="9"/>
  <c r="O105" i="9" s="1"/>
  <c r="P105" i="9" s="1"/>
  <c r="N61" i="9"/>
  <c r="O61" i="9" s="1"/>
  <c r="P61" i="9" s="1"/>
  <c r="N201" i="9"/>
  <c r="O201" i="9" s="1"/>
  <c r="P201" i="9" s="1"/>
  <c r="N160" i="9"/>
  <c r="O160" i="9" s="1"/>
  <c r="P160" i="9" s="1"/>
  <c r="N260" i="9"/>
  <c r="O260" i="9" s="1"/>
  <c r="P260" i="9" s="1"/>
  <c r="N230" i="9"/>
  <c r="O230" i="9" s="1"/>
  <c r="P230" i="9" s="1"/>
  <c r="N180" i="9"/>
  <c r="O180" i="9" s="1"/>
  <c r="P180" i="9" s="1"/>
  <c r="N106" i="9"/>
  <c r="O106" i="9" s="1"/>
  <c r="P106" i="9" s="1"/>
  <c r="N264" i="9"/>
  <c r="O264" i="9" s="1"/>
  <c r="P264" i="9" s="1"/>
  <c r="N355" i="9"/>
  <c r="O355" i="9" s="1"/>
  <c r="P355" i="9" s="1"/>
  <c r="N504" i="9"/>
  <c r="O504" i="9" s="1"/>
  <c r="P504" i="9" s="1"/>
  <c r="N406" i="9"/>
  <c r="O406" i="9" s="1"/>
  <c r="P406" i="9" s="1"/>
  <c r="N370" i="9"/>
  <c r="O370" i="9" s="1"/>
  <c r="P370" i="9" s="1"/>
  <c r="N299" i="9"/>
  <c r="O299" i="9" s="1"/>
  <c r="P299" i="9" s="1"/>
  <c r="N320" i="9"/>
  <c r="O320" i="9" s="1"/>
  <c r="P320" i="9" s="1"/>
  <c r="N246" i="9"/>
  <c r="O246" i="9" s="1"/>
  <c r="P246" i="9" s="1"/>
  <c r="N280" i="9"/>
  <c r="O280" i="9" s="1"/>
  <c r="P280" i="9" s="1"/>
  <c r="N527" i="9"/>
  <c r="O527" i="9" s="1"/>
  <c r="P527" i="9" s="1"/>
  <c r="N807" i="9"/>
  <c r="O807" i="9" s="1"/>
  <c r="P807" i="9" s="1"/>
  <c r="N544" i="9"/>
  <c r="O544" i="9" s="1"/>
  <c r="P544" i="9" s="1"/>
  <c r="N520" i="9"/>
  <c r="O520" i="9" s="1"/>
  <c r="P520" i="9" s="1"/>
  <c r="N782" i="9"/>
  <c r="O782" i="9" s="1"/>
  <c r="P782" i="9" s="1"/>
  <c r="N316" i="9"/>
  <c r="O316" i="9" s="1"/>
  <c r="P316" i="9" s="1"/>
  <c r="N273" i="9"/>
  <c r="O273" i="9" s="1"/>
  <c r="P273" i="9" s="1"/>
  <c r="N492" i="9"/>
  <c r="O492" i="9" s="1"/>
  <c r="P492" i="9" s="1"/>
  <c r="N480" i="9"/>
  <c r="O480" i="9" s="1"/>
  <c r="P480" i="9" s="1"/>
  <c r="N543" i="9"/>
  <c r="O543" i="9" s="1"/>
  <c r="P543" i="9" s="1"/>
  <c r="N806" i="9"/>
  <c r="O806" i="9" s="1"/>
  <c r="P806" i="9" s="1"/>
  <c r="N775" i="9"/>
  <c r="O775" i="9" s="1"/>
  <c r="P775" i="9" s="1"/>
  <c r="N747" i="9"/>
  <c r="O747" i="9" s="1"/>
  <c r="P747" i="9" s="1"/>
  <c r="N516" i="9"/>
  <c r="O516" i="9" s="1"/>
  <c r="P516" i="9" s="1"/>
  <c r="N801" i="9"/>
  <c r="O801" i="9" s="1"/>
  <c r="P801" i="9" s="1"/>
  <c r="N756" i="9"/>
  <c r="O756" i="9" s="1"/>
  <c r="P756" i="9" s="1"/>
  <c r="N746" i="9"/>
  <c r="O746" i="9" s="1"/>
  <c r="P746" i="9" s="1"/>
  <c r="N734" i="9"/>
  <c r="O734" i="9" s="1"/>
  <c r="P734" i="9" s="1"/>
  <c r="N521" i="9"/>
  <c r="O521" i="9" s="1"/>
  <c r="P521" i="9" s="1"/>
  <c r="N514" i="9"/>
  <c r="O514" i="9" s="1"/>
  <c r="P514" i="9" s="1"/>
  <c r="N554" i="9"/>
  <c r="O554" i="9" s="1"/>
  <c r="P554" i="9" s="1"/>
  <c r="N522" i="9"/>
  <c r="O522" i="9" s="1"/>
  <c r="P522" i="9" s="1"/>
  <c r="N549" i="9"/>
  <c r="O549" i="9" s="1"/>
  <c r="P549" i="9" s="1"/>
  <c r="N517" i="9"/>
  <c r="O517" i="9" s="1"/>
  <c r="P517" i="9" s="1"/>
  <c r="N327" i="9"/>
  <c r="O327" i="9" s="1"/>
  <c r="P327" i="9" s="1"/>
  <c r="N373" i="9"/>
  <c r="O373" i="9" s="1"/>
  <c r="P373" i="9" s="1"/>
  <c r="N251" i="9"/>
  <c r="O251" i="9" s="1"/>
  <c r="P251" i="9" s="1"/>
  <c r="N311" i="9"/>
  <c r="O311" i="9" s="1"/>
  <c r="P311" i="9" s="1"/>
  <c r="N350" i="9"/>
  <c r="O350" i="9" s="1"/>
  <c r="P350" i="9" s="1"/>
  <c r="N256" i="9"/>
  <c r="O256" i="9" s="1"/>
  <c r="P256" i="9" s="1"/>
  <c r="N388" i="9"/>
  <c r="O388" i="9" s="1"/>
  <c r="P388" i="9" s="1"/>
  <c r="N364" i="9"/>
  <c r="O364" i="9" s="1"/>
  <c r="P364" i="9" s="1"/>
  <c r="N358" i="9"/>
  <c r="O358" i="9" s="1"/>
  <c r="P358" i="9" s="1"/>
  <c r="N340" i="9"/>
  <c r="O340" i="9" s="1"/>
  <c r="P340" i="9" s="1"/>
  <c r="N274" i="9"/>
  <c r="O274" i="9" s="1"/>
  <c r="P274" i="9" s="1"/>
  <c r="N392" i="9"/>
  <c r="O392" i="9" s="1"/>
  <c r="P392" i="9" s="1"/>
  <c r="N337" i="9"/>
  <c r="O337" i="9" s="1"/>
  <c r="P337" i="9" s="1"/>
  <c r="N321" i="9"/>
  <c r="O321" i="9" s="1"/>
  <c r="P321" i="9" s="1"/>
  <c r="N290" i="9"/>
  <c r="O290" i="9" s="1"/>
  <c r="P290" i="9" s="1"/>
  <c r="N268" i="9"/>
  <c r="O268" i="9" s="1"/>
  <c r="P268" i="9" s="1"/>
  <c r="N338" i="9"/>
  <c r="O338" i="9" s="1"/>
  <c r="P338" i="9" s="1"/>
  <c r="N306" i="9"/>
  <c r="O306" i="9" s="1"/>
  <c r="P306" i="9" s="1"/>
  <c r="N282" i="9"/>
  <c r="O282" i="9" s="1"/>
  <c r="P282" i="9" s="1"/>
  <c r="N263" i="9"/>
  <c r="O263" i="9" s="1"/>
  <c r="P263" i="9" s="1"/>
  <c r="N243" i="9"/>
  <c r="O243" i="9" s="1"/>
  <c r="P243" i="9" s="1"/>
  <c r="N131" i="9"/>
  <c r="O131" i="9" s="1"/>
  <c r="P131" i="9" s="1"/>
  <c r="N208" i="9"/>
  <c r="O208" i="9" s="1"/>
  <c r="P208" i="9" s="1"/>
  <c r="N183" i="9"/>
  <c r="O183" i="9" s="1"/>
  <c r="P183" i="9" s="1"/>
  <c r="N175" i="9"/>
  <c r="O175" i="9" s="1"/>
  <c r="P175" i="9" s="1"/>
  <c r="N167" i="9"/>
  <c r="O167" i="9" s="1"/>
  <c r="P167" i="9" s="1"/>
  <c r="N162" i="9"/>
  <c r="O162" i="9" s="1"/>
  <c r="P162" i="9" s="1"/>
  <c r="N194" i="9"/>
  <c r="O194" i="9" s="1"/>
  <c r="P194" i="9" s="1"/>
  <c r="N218" i="9"/>
  <c r="O218" i="9" s="1"/>
  <c r="P218" i="9" s="1"/>
  <c r="N199" i="9"/>
  <c r="O199" i="9" s="1"/>
  <c r="P199" i="9" s="1"/>
  <c r="N151" i="9"/>
  <c r="O151" i="9" s="1"/>
  <c r="P151" i="9" s="1"/>
  <c r="N119" i="9"/>
  <c r="O119" i="9" s="1"/>
  <c r="P119" i="9" s="1"/>
  <c r="N141" i="9"/>
  <c r="O141" i="9" s="1"/>
  <c r="P141" i="9" s="1"/>
  <c r="N116" i="9"/>
  <c r="O116" i="9" s="1"/>
  <c r="P116" i="9" s="1"/>
  <c r="N149" i="9"/>
  <c r="O149" i="9" s="1"/>
  <c r="P149" i="9" s="1"/>
  <c r="N144" i="9"/>
  <c r="O144" i="9" s="1"/>
  <c r="P144" i="9" s="1"/>
  <c r="N112" i="9"/>
  <c r="O112" i="9" s="1"/>
  <c r="P112" i="9" s="1"/>
  <c r="N56" i="9"/>
  <c r="O56" i="9" s="1"/>
  <c r="P56" i="9" s="1"/>
  <c r="N57" i="9"/>
  <c r="O57" i="9" s="1"/>
  <c r="P57" i="9" s="1"/>
  <c r="N54" i="9"/>
  <c r="O54" i="9" s="1"/>
  <c r="P54" i="9" s="1"/>
  <c r="N94" i="9"/>
  <c r="O94" i="9" s="1"/>
  <c r="P94" i="9" s="1"/>
  <c r="N86" i="9"/>
  <c r="O86" i="9" s="1"/>
  <c r="P86" i="9" s="1"/>
  <c r="N49" i="9"/>
  <c r="O49" i="9" s="1"/>
  <c r="P49" i="9" s="1"/>
  <c r="N586" i="9"/>
  <c r="O586" i="9" s="1"/>
  <c r="P586" i="9" s="1"/>
  <c r="N74" i="9"/>
  <c r="O74" i="9" s="1"/>
  <c r="P74" i="9" s="1"/>
  <c r="N42" i="9"/>
  <c r="O42" i="9" s="1"/>
  <c r="P42" i="9" s="1"/>
  <c r="N587" i="9"/>
  <c r="O587" i="9" s="1"/>
  <c r="P587" i="9" s="1"/>
  <c r="N95" i="9"/>
  <c r="O95" i="9" s="1"/>
  <c r="P95" i="9" s="1"/>
  <c r="N46" i="9"/>
  <c r="O46" i="9" s="1"/>
  <c r="P46" i="9" s="1"/>
  <c r="N35" i="9"/>
  <c r="O35" i="9" s="1"/>
  <c r="P35" i="9" s="1"/>
  <c r="N68" i="9"/>
  <c r="O68" i="9" s="1"/>
  <c r="P68" i="9" s="1"/>
  <c r="N81" i="9"/>
  <c r="O81" i="9" s="1"/>
  <c r="P81" i="9" s="1"/>
  <c r="N60" i="9"/>
  <c r="O60" i="9" s="1"/>
  <c r="P60" i="9" s="1"/>
  <c r="N59" i="9"/>
  <c r="O59" i="9" s="1"/>
  <c r="P59" i="9" s="1"/>
  <c r="N38" i="9"/>
  <c r="O38" i="9" s="1"/>
  <c r="P38" i="9" s="1"/>
  <c r="N63" i="9"/>
  <c r="O63" i="9" s="1"/>
  <c r="P63" i="9" s="1"/>
  <c r="N700" i="9"/>
  <c r="O700" i="9" s="1"/>
  <c r="P700" i="9" s="1"/>
  <c r="N641" i="9"/>
  <c r="O641" i="9" s="1"/>
  <c r="P641" i="9" s="1"/>
  <c r="N717" i="9"/>
  <c r="O717" i="9" s="1"/>
  <c r="P717" i="9" s="1"/>
  <c r="N625" i="9"/>
  <c r="O625" i="9" s="1"/>
  <c r="P625" i="9" s="1"/>
  <c r="N425" i="9"/>
  <c r="O425" i="9" s="1"/>
  <c r="P425" i="9" s="1"/>
  <c r="N417" i="9"/>
  <c r="O417" i="9" s="1"/>
  <c r="P417" i="9" s="1"/>
  <c r="N18" i="9"/>
  <c r="O18" i="9" s="1"/>
  <c r="P18" i="9" s="1"/>
  <c r="N696" i="9"/>
  <c r="O696" i="9" s="1"/>
  <c r="P696" i="9" s="1"/>
  <c r="N29" i="9"/>
  <c r="O29" i="9" s="1"/>
  <c r="P29" i="9" s="1"/>
  <c r="N722" i="9"/>
  <c r="O722" i="9" s="1"/>
  <c r="P722" i="9" s="1"/>
  <c r="N709" i="9"/>
  <c r="O709" i="9" s="1"/>
  <c r="P709" i="9" s="1"/>
  <c r="N655" i="9"/>
  <c r="O655" i="9" s="1"/>
  <c r="P655" i="9" s="1"/>
  <c r="N603" i="9"/>
  <c r="O603" i="9" s="1"/>
  <c r="P603" i="9" s="1"/>
  <c r="N12" i="9"/>
  <c r="O12" i="9" s="1"/>
  <c r="P12" i="9" s="1"/>
  <c r="N724" i="9"/>
  <c r="O724" i="9" s="1"/>
  <c r="P724" i="9" s="1"/>
  <c r="N689" i="9"/>
  <c r="O689" i="9" s="1"/>
  <c r="P689" i="9" s="1"/>
  <c r="N426" i="9"/>
  <c r="O426" i="9" s="1"/>
  <c r="P426" i="9" s="1"/>
  <c r="N418" i="9"/>
  <c r="O418" i="9" s="1"/>
  <c r="P418" i="9" s="1"/>
  <c r="N24" i="9"/>
  <c r="O24" i="9" s="1"/>
  <c r="P24" i="9" s="1"/>
  <c r="N15" i="9"/>
  <c r="O15" i="9" s="1"/>
  <c r="P15" i="9" s="1"/>
  <c r="N720" i="9"/>
  <c r="O720" i="9" s="1"/>
  <c r="P720" i="9" s="1"/>
  <c r="N697" i="9"/>
  <c r="O697" i="9" s="1"/>
  <c r="P697" i="9" s="1"/>
  <c r="N676" i="9"/>
  <c r="O676" i="9" s="1"/>
  <c r="P676" i="9" s="1"/>
  <c r="N651" i="9"/>
  <c r="O651" i="9" s="1"/>
  <c r="P651" i="9" s="1"/>
  <c r="N575" i="9"/>
  <c r="O575" i="9" s="1"/>
  <c r="P575" i="9" s="1"/>
  <c r="N681" i="9"/>
  <c r="O681" i="9" s="1"/>
  <c r="P681" i="9" s="1"/>
  <c r="N660" i="9"/>
  <c r="O660" i="9" s="1"/>
  <c r="P660" i="9" s="1"/>
  <c r="N607" i="9"/>
  <c r="O607" i="9" s="1"/>
  <c r="P607" i="9" s="1"/>
  <c r="N570" i="9"/>
  <c r="O570" i="9" s="1"/>
  <c r="P570" i="9" s="1"/>
  <c r="N602" i="9"/>
  <c r="O602" i="9" s="1"/>
  <c r="P602" i="9" s="1"/>
  <c r="N582" i="9"/>
  <c r="O582" i="9" s="1"/>
  <c r="P582" i="9" s="1"/>
  <c r="N705" i="9"/>
  <c r="O705" i="9" s="1"/>
  <c r="P705" i="9" s="1"/>
  <c r="N654" i="9"/>
  <c r="O654" i="9" s="1"/>
  <c r="P654" i="9" s="1"/>
  <c r="N622" i="9"/>
  <c r="O622" i="9" s="1"/>
  <c r="P622" i="9" s="1"/>
  <c r="N113" i="9"/>
  <c r="O113" i="9" s="1"/>
  <c r="P113" i="9" s="1"/>
  <c r="N539" i="9"/>
  <c r="O539" i="9" s="1"/>
  <c r="P539" i="9" s="1"/>
  <c r="N411" i="9"/>
  <c r="O411" i="9" s="1"/>
  <c r="P411" i="9" s="1"/>
  <c r="N743" i="9"/>
  <c r="O743" i="9" s="1"/>
  <c r="P743" i="9" s="1"/>
  <c r="N123" i="9"/>
  <c r="O123" i="9" s="1"/>
  <c r="P123" i="9" s="1"/>
  <c r="N815" i="9"/>
  <c r="O815" i="9" s="1"/>
  <c r="P815" i="9" s="1"/>
  <c r="N189" i="9"/>
  <c r="O189" i="9" s="1"/>
  <c r="P189" i="9" s="1"/>
  <c r="N325" i="9"/>
  <c r="O325" i="9" s="1"/>
  <c r="P325" i="9" s="1"/>
  <c r="N555" i="9"/>
  <c r="O555" i="9" s="1"/>
  <c r="P555" i="9" s="1"/>
  <c r="N742" i="9"/>
  <c r="O742" i="9" s="1"/>
  <c r="P742" i="9" s="1"/>
  <c r="N150" i="9"/>
  <c r="O150" i="9" s="1"/>
  <c r="P150" i="9" s="1"/>
  <c r="N485" i="9"/>
  <c r="O485" i="9" s="1"/>
  <c r="P485" i="9" s="1"/>
  <c r="N371" i="9"/>
  <c r="O371" i="9" s="1"/>
  <c r="P371" i="9" s="1"/>
  <c r="N142" i="9"/>
  <c r="O142" i="9" s="1"/>
  <c r="P142" i="9" s="1"/>
  <c r="N374" i="9"/>
  <c r="O374" i="9" s="1"/>
  <c r="P374" i="9" s="1"/>
  <c r="N214" i="9"/>
  <c r="O214" i="9" s="1"/>
  <c r="P214" i="9" s="1"/>
  <c r="N115" i="9"/>
  <c r="O115" i="9" s="1"/>
  <c r="P115" i="9" s="1"/>
  <c r="N82" i="9"/>
  <c r="O82" i="9" s="1"/>
  <c r="P82" i="9" s="1"/>
  <c r="N193" i="9"/>
  <c r="O193" i="9" s="1"/>
  <c r="P193" i="9" s="1"/>
  <c r="N402" i="9"/>
  <c r="O402" i="9" s="1"/>
  <c r="P402" i="9" s="1"/>
  <c r="N360" i="9"/>
  <c r="O360" i="9" s="1"/>
  <c r="P360" i="9" s="1"/>
  <c r="N803" i="9"/>
  <c r="O803" i="9" s="1"/>
  <c r="P803" i="9" s="1"/>
  <c r="N399" i="9"/>
  <c r="O399" i="9" s="1"/>
  <c r="P399" i="9" s="1"/>
  <c r="N312" i="9"/>
  <c r="O312" i="9" s="1"/>
  <c r="P312" i="9" s="1"/>
  <c r="N308" i="9"/>
  <c r="O308" i="9" s="1"/>
  <c r="P308" i="9" s="1"/>
  <c r="N540" i="9"/>
  <c r="O540" i="9" s="1"/>
  <c r="P540" i="9" s="1"/>
  <c r="N303" i="9"/>
  <c r="O303" i="9" s="1"/>
  <c r="P303" i="9" s="1"/>
  <c r="N524" i="9"/>
  <c r="O524" i="9" s="1"/>
  <c r="P524" i="9" s="1"/>
  <c r="N788" i="9"/>
  <c r="O788" i="9" s="1"/>
  <c r="P788" i="9" s="1"/>
  <c r="N523" i="9"/>
  <c r="O523" i="9" s="1"/>
  <c r="P523" i="9" s="1"/>
  <c r="N758" i="9"/>
  <c r="O758" i="9" s="1"/>
  <c r="P758" i="9" s="1"/>
  <c r="N309" i="9"/>
  <c r="O309" i="9" s="1"/>
  <c r="P309" i="9" s="1"/>
  <c r="N484" i="9"/>
  <c r="O484" i="9" s="1"/>
  <c r="P484" i="9" s="1"/>
  <c r="N550" i="9"/>
  <c r="O550" i="9" s="1"/>
  <c r="P550" i="9" s="1"/>
  <c r="N413" i="9"/>
  <c r="O413" i="9" s="1"/>
  <c r="P413" i="9" s="1"/>
  <c r="N774" i="9"/>
  <c r="O774" i="9" s="1"/>
  <c r="P774" i="9" s="1"/>
  <c r="N739" i="9"/>
  <c r="O739" i="9" s="1"/>
  <c r="P739" i="9" s="1"/>
  <c r="N805" i="9"/>
  <c r="O805" i="9" s="1"/>
  <c r="P805" i="9" s="1"/>
  <c r="N744" i="9"/>
  <c r="O744" i="9" s="1"/>
  <c r="P744" i="9" s="1"/>
  <c r="N780" i="9"/>
  <c r="O780" i="9" s="1"/>
  <c r="P780" i="9" s="1"/>
  <c r="N537" i="9"/>
  <c r="O537" i="9" s="1"/>
  <c r="P537" i="9" s="1"/>
  <c r="N545" i="9"/>
  <c r="O545" i="9" s="1"/>
  <c r="P545" i="9" s="1"/>
  <c r="N505" i="9"/>
  <c r="O505" i="9" s="1"/>
  <c r="P505" i="9" s="1"/>
  <c r="N501" i="9"/>
  <c r="O501" i="9" s="1"/>
  <c r="P501" i="9" s="1"/>
  <c r="N509" i="9"/>
  <c r="O509" i="9" s="1"/>
  <c r="P509" i="9" s="1"/>
  <c r="N404" i="9"/>
  <c r="O404" i="9" s="1"/>
  <c r="P404" i="9" s="1"/>
  <c r="N381" i="9"/>
  <c r="O381" i="9" s="1"/>
  <c r="P381" i="9" s="1"/>
  <c r="N408" i="9"/>
  <c r="O408" i="9" s="1"/>
  <c r="P408" i="9" s="1"/>
  <c r="N258" i="9"/>
  <c r="O258" i="9" s="1"/>
  <c r="P258" i="9" s="1"/>
  <c r="N372" i="9"/>
  <c r="O372" i="9" s="1"/>
  <c r="P372" i="9" s="1"/>
  <c r="N255" i="9"/>
  <c r="O255" i="9" s="1"/>
  <c r="P255" i="9" s="1"/>
  <c r="N368" i="9"/>
  <c r="O368" i="9" s="1"/>
  <c r="P368" i="9" s="1"/>
  <c r="N305" i="9"/>
  <c r="O305" i="9" s="1"/>
  <c r="P305" i="9" s="1"/>
  <c r="N271" i="9"/>
  <c r="O271" i="9" s="1"/>
  <c r="P271" i="9" s="1"/>
  <c r="N330" i="9"/>
  <c r="O330" i="9" s="1"/>
  <c r="P330" i="9" s="1"/>
  <c r="N295" i="9"/>
  <c r="O295" i="9" s="1"/>
  <c r="P295" i="9" s="1"/>
  <c r="N266" i="9"/>
  <c r="O266" i="9" s="1"/>
  <c r="P266" i="9" s="1"/>
  <c r="N226" i="9"/>
  <c r="O226" i="9" s="1"/>
  <c r="P226" i="9" s="1"/>
  <c r="N219" i="9"/>
  <c r="O219" i="9" s="1"/>
  <c r="P219" i="9" s="1"/>
  <c r="N187" i="9"/>
  <c r="O187" i="9" s="1"/>
  <c r="P187" i="9" s="1"/>
  <c r="N179" i="9"/>
  <c r="O179" i="9" s="1"/>
  <c r="P179" i="9" s="1"/>
  <c r="N170" i="9"/>
  <c r="O170" i="9" s="1"/>
  <c r="P170" i="9" s="1"/>
  <c r="N234" i="9"/>
  <c r="O234" i="9" s="1"/>
  <c r="P234" i="9" s="1"/>
  <c r="N211" i="9"/>
  <c r="O211" i="9" s="1"/>
  <c r="P211" i="9" s="1"/>
  <c r="N148" i="9"/>
  <c r="O148" i="9" s="1"/>
  <c r="P148" i="9" s="1"/>
  <c r="N125" i="9"/>
  <c r="O125" i="9" s="1"/>
  <c r="P125" i="9" s="1"/>
  <c r="N140" i="9"/>
  <c r="O140" i="9" s="1"/>
  <c r="P140" i="9" s="1"/>
  <c r="N108" i="9"/>
  <c r="O108" i="9" s="1"/>
  <c r="P108" i="9" s="1"/>
  <c r="N120" i="9"/>
  <c r="O120" i="9" s="1"/>
  <c r="P120" i="9" s="1"/>
  <c r="N37" i="9"/>
  <c r="O37" i="9" s="1"/>
  <c r="P37" i="9" s="1"/>
  <c r="N33" i="9"/>
  <c r="O33" i="9" s="1"/>
  <c r="P33" i="9" s="1"/>
  <c r="N32" i="9"/>
  <c r="O32" i="9" s="1"/>
  <c r="P32" i="9" s="1"/>
  <c r="N69" i="9"/>
  <c r="O69" i="9" s="1"/>
  <c r="P69" i="9" s="1"/>
  <c r="N618" i="9"/>
  <c r="O618" i="9" s="1"/>
  <c r="P618" i="9" s="1"/>
  <c r="N77" i="9"/>
  <c r="O77" i="9" s="1"/>
  <c r="P77" i="9" s="1"/>
  <c r="N14" i="9"/>
  <c r="O14" i="9" s="1"/>
  <c r="P14" i="9" s="1"/>
  <c r="N53" i="9"/>
  <c r="O53" i="9" s="1"/>
  <c r="P53" i="9" s="1"/>
  <c r="N96" i="9"/>
  <c r="O96" i="9" s="1"/>
  <c r="P96" i="9" s="1"/>
  <c r="N92" i="9"/>
  <c r="O92" i="9" s="1"/>
  <c r="P92" i="9" s="1"/>
  <c r="N65" i="9"/>
  <c r="O65" i="9" s="1"/>
  <c r="P65" i="9" s="1"/>
  <c r="N52" i="9"/>
  <c r="O52" i="9" s="1"/>
  <c r="P52" i="9" s="1"/>
  <c r="N34" i="9"/>
  <c r="O34" i="9" s="1"/>
  <c r="P34" i="9" s="1"/>
  <c r="N71" i="9"/>
  <c r="O71" i="9" s="1"/>
  <c r="P71" i="9" s="1"/>
  <c r="N679" i="9"/>
  <c r="O679" i="9" s="1"/>
  <c r="P679" i="9" s="1"/>
  <c r="N680" i="9"/>
  <c r="O680" i="9" s="1"/>
  <c r="P680" i="9" s="1"/>
  <c r="N416" i="9"/>
  <c r="O416" i="9" s="1"/>
  <c r="P416" i="9" s="1"/>
  <c r="N668" i="9"/>
  <c r="O668" i="9" s="1"/>
  <c r="P668" i="9" s="1"/>
  <c r="N423" i="9"/>
  <c r="O423" i="9" s="1"/>
  <c r="P423" i="9" s="1"/>
  <c r="N23" i="9"/>
  <c r="O23" i="9" s="1"/>
  <c r="P23" i="9" s="1"/>
  <c r="N699" i="9"/>
  <c r="O699" i="9" s="1"/>
  <c r="P699" i="9" s="1"/>
  <c r="N27" i="9"/>
  <c r="O27" i="9" s="1"/>
  <c r="P27" i="9" s="1"/>
  <c r="N715" i="9"/>
  <c r="O715" i="9" s="1"/>
  <c r="P715" i="9" s="1"/>
  <c r="N656" i="9"/>
  <c r="O656" i="9" s="1"/>
  <c r="P656" i="9" s="1"/>
  <c r="N8" i="9"/>
  <c r="O8" i="9" s="1"/>
  <c r="P8" i="9" s="1"/>
  <c r="N707" i="9"/>
  <c r="O707" i="9" s="1"/>
  <c r="P707" i="9" s="1"/>
  <c r="N424" i="9"/>
  <c r="O424" i="9" s="1"/>
  <c r="P424" i="9" s="1"/>
  <c r="N28" i="9"/>
  <c r="O28" i="9" s="1"/>
  <c r="P28" i="9" s="1"/>
  <c r="N17" i="9"/>
  <c r="O17" i="9" s="1"/>
  <c r="P17" i="9" s="1"/>
  <c r="N708" i="9"/>
  <c r="O708" i="9" s="1"/>
  <c r="P708" i="9" s="1"/>
  <c r="N688" i="9"/>
  <c r="O688" i="9" s="1"/>
  <c r="P688" i="9" s="1"/>
  <c r="N652" i="9"/>
  <c r="O652" i="9" s="1"/>
  <c r="P652" i="9" s="1"/>
  <c r="N574" i="9"/>
  <c r="O574" i="9" s="1"/>
  <c r="P574" i="9" s="1"/>
  <c r="N672" i="9"/>
  <c r="O672" i="9" s="1"/>
  <c r="P672" i="9" s="1"/>
  <c r="N643" i="9"/>
  <c r="O643" i="9" s="1"/>
  <c r="P643" i="9" s="1"/>
  <c r="N567" i="9"/>
  <c r="O567" i="9" s="1"/>
  <c r="P567" i="9" s="1"/>
  <c r="N713" i="9"/>
  <c r="O713" i="9" s="1"/>
  <c r="P713" i="9" s="1"/>
  <c r="N593" i="9"/>
  <c r="O593" i="9" s="1"/>
  <c r="P593" i="9" s="1"/>
  <c r="N600" i="9"/>
  <c r="O600" i="9" s="1"/>
  <c r="P600" i="9" s="1"/>
  <c r="N710" i="9"/>
  <c r="O710" i="9" s="1"/>
  <c r="P710" i="9" s="1"/>
  <c r="N678" i="9"/>
  <c r="O678" i="9" s="1"/>
  <c r="P678" i="9" s="1"/>
  <c r="N714" i="9"/>
  <c r="O714" i="9" s="1"/>
  <c r="P714" i="9" s="1"/>
  <c r="N682" i="9"/>
  <c r="O682" i="9" s="1"/>
  <c r="P682" i="9" s="1"/>
  <c r="N629" i="9"/>
  <c r="O629" i="9" s="1"/>
  <c r="P629" i="9" s="1"/>
  <c r="N598" i="9"/>
  <c r="O598" i="9" s="1"/>
  <c r="P598" i="9" s="1"/>
  <c r="N658" i="9"/>
  <c r="O658" i="9" s="1"/>
  <c r="P658" i="9" s="1"/>
  <c r="N645" i="9"/>
  <c r="O645" i="9" s="1"/>
  <c r="P645" i="9" s="1"/>
  <c r="N632" i="9"/>
  <c r="O632" i="9" s="1"/>
  <c r="P632" i="9" s="1"/>
  <c r="N596" i="9"/>
  <c r="O596" i="9" s="1"/>
  <c r="P596" i="9" s="1"/>
  <c r="N627" i="9"/>
  <c r="O627" i="9" s="1"/>
  <c r="P627" i="9" s="1"/>
  <c r="N577" i="9"/>
  <c r="O577" i="9" s="1"/>
  <c r="P577" i="9" s="1"/>
  <c r="N561" i="9"/>
  <c r="O561" i="9" s="1"/>
  <c r="P561" i="9" s="1"/>
  <c r="N585" i="9"/>
  <c r="O585" i="9" s="1"/>
  <c r="P585" i="9" s="1"/>
  <c r="N597" i="9"/>
  <c r="O597" i="9" s="1"/>
  <c r="P597" i="9" s="1"/>
  <c r="N761" i="9"/>
  <c r="O761" i="9" s="1"/>
  <c r="P761" i="9" s="1"/>
  <c r="N378" i="9"/>
  <c r="O378" i="9" s="1"/>
  <c r="P378" i="9" s="1"/>
  <c r="N206" i="9"/>
  <c r="O206" i="9" s="1"/>
  <c r="P206" i="9" s="1"/>
  <c r="N300" i="9"/>
  <c r="O300" i="9" s="1"/>
  <c r="P300" i="9" s="1"/>
  <c r="N153" i="9"/>
  <c r="O153" i="9" s="1"/>
  <c r="P153" i="9" s="1"/>
  <c r="N781" i="9"/>
  <c r="O781" i="9" s="1"/>
  <c r="P781" i="9" s="1"/>
  <c r="N339" i="9"/>
  <c r="O339" i="9" s="1"/>
  <c r="P339" i="9" s="1"/>
  <c r="N800" i="9"/>
  <c r="O800" i="9" s="1"/>
  <c r="P800" i="9" s="1"/>
  <c r="N169" i="9"/>
  <c r="O169" i="9" s="1"/>
  <c r="P169" i="9" s="1"/>
  <c r="N296" i="9"/>
  <c r="O296" i="9" s="1"/>
  <c r="P296" i="9" s="1"/>
  <c r="N812" i="9"/>
  <c r="O812" i="9" s="1"/>
  <c r="P812" i="9" s="1"/>
  <c r="N110" i="9"/>
  <c r="O110" i="9" s="1"/>
  <c r="P110" i="9" s="1"/>
  <c r="N512" i="9"/>
  <c r="O512" i="9" s="1"/>
  <c r="P512" i="9" s="1"/>
  <c r="N353" i="9"/>
  <c r="O353" i="9" s="1"/>
  <c r="P353" i="9" s="1"/>
  <c r="N225" i="9"/>
  <c r="O225" i="9" s="1"/>
  <c r="P225" i="9" s="1"/>
  <c r="N138" i="9"/>
  <c r="O138" i="9" s="1"/>
  <c r="P138" i="9" s="1"/>
  <c r="N542" i="9"/>
  <c r="O542" i="9" s="1"/>
  <c r="P542" i="9" s="1"/>
  <c r="N188" i="9"/>
  <c r="O188" i="9" s="1"/>
  <c r="P188" i="9" s="1"/>
  <c r="N111" i="9"/>
  <c r="O111" i="9" s="1"/>
  <c r="P111" i="9" s="1"/>
  <c r="N236" i="9"/>
  <c r="O236" i="9" s="1"/>
  <c r="P236" i="9" s="1"/>
  <c r="N168" i="9"/>
  <c r="O168" i="9" s="1"/>
  <c r="P168" i="9" s="1"/>
  <c r="N385" i="9"/>
  <c r="O385" i="9" s="1"/>
  <c r="P385" i="9" s="1"/>
  <c r="N397" i="9"/>
  <c r="O397" i="9" s="1"/>
  <c r="P397" i="9" s="1"/>
  <c r="N323" i="9"/>
  <c r="O323" i="9" s="1"/>
  <c r="P323" i="9" s="1"/>
  <c r="N784" i="9"/>
  <c r="O784" i="9" s="1"/>
  <c r="P784" i="9" s="1"/>
  <c r="N386" i="9"/>
  <c r="O386" i="9" s="1"/>
  <c r="P386" i="9" s="1"/>
  <c r="N244" i="9"/>
  <c r="O244" i="9" s="1"/>
  <c r="P244" i="9" s="1"/>
  <c r="N304" i="9"/>
  <c r="O304" i="9" s="1"/>
  <c r="P304" i="9" s="1"/>
  <c r="N757" i="9"/>
  <c r="O757" i="9" s="1"/>
  <c r="P757" i="9" s="1"/>
  <c r="N265" i="9"/>
  <c r="O265" i="9" s="1"/>
  <c r="P265" i="9" s="1"/>
  <c r="N729" i="9"/>
  <c r="O729" i="9" s="1"/>
  <c r="P729" i="9" s="1"/>
  <c r="N771" i="9"/>
  <c r="O771" i="9" s="1"/>
  <c r="P771" i="9" s="1"/>
  <c r="N412" i="9"/>
  <c r="O412" i="9" s="1"/>
  <c r="P412" i="9" s="1"/>
  <c r="N755" i="9"/>
  <c r="O755" i="9" s="1"/>
  <c r="P755" i="9" s="1"/>
  <c r="N278" i="9"/>
  <c r="O278" i="9" s="1"/>
  <c r="P278" i="9" s="1"/>
  <c r="N490" i="9"/>
  <c r="O490" i="9" s="1"/>
  <c r="P490" i="9" s="1"/>
  <c r="N483" i="9"/>
  <c r="O483" i="9" s="1"/>
  <c r="P483" i="9" s="1"/>
  <c r="N548" i="9"/>
  <c r="O548" i="9" s="1"/>
  <c r="P548" i="9" s="1"/>
  <c r="N798" i="9"/>
  <c r="O798" i="9" s="1"/>
  <c r="P798" i="9" s="1"/>
  <c r="N519" i="9"/>
  <c r="O519" i="9" s="1"/>
  <c r="P519" i="9" s="1"/>
  <c r="N797" i="9"/>
  <c r="O797" i="9" s="1"/>
  <c r="P797" i="9" s="1"/>
  <c r="N764" i="9"/>
  <c r="O764" i="9" s="1"/>
  <c r="P764" i="9" s="1"/>
  <c r="N778" i="9"/>
  <c r="O778" i="9" s="1"/>
  <c r="P778" i="9" s="1"/>
  <c r="N740" i="9"/>
  <c r="O740" i="9" s="1"/>
  <c r="P740" i="9" s="1"/>
  <c r="N553" i="9"/>
  <c r="O553" i="9" s="1"/>
  <c r="P553" i="9" s="1"/>
  <c r="N541" i="9"/>
  <c r="O541" i="9" s="1"/>
  <c r="P541" i="9" s="1"/>
  <c r="N349" i="9"/>
  <c r="O349" i="9" s="1"/>
  <c r="P349" i="9" s="1"/>
  <c r="N365" i="9"/>
  <c r="O365" i="9" s="1"/>
  <c r="P365" i="9" s="1"/>
  <c r="N335" i="9"/>
  <c r="O335" i="9" s="1"/>
  <c r="P335" i="9" s="1"/>
  <c r="N400" i="9"/>
  <c r="O400" i="9" s="1"/>
  <c r="P400" i="9" s="1"/>
  <c r="N242" i="9"/>
  <c r="O242" i="9" s="1"/>
  <c r="P242" i="9" s="1"/>
  <c r="N383" i="9"/>
  <c r="O383" i="9" s="1"/>
  <c r="P383" i="9" s="1"/>
  <c r="N367" i="9"/>
  <c r="O367" i="9" s="1"/>
  <c r="P367" i="9" s="1"/>
  <c r="N356" i="9"/>
  <c r="O356" i="9" s="1"/>
  <c r="P356" i="9" s="1"/>
  <c r="N252" i="9"/>
  <c r="O252" i="9" s="1"/>
  <c r="P252" i="9" s="1"/>
  <c r="N334" i="9"/>
  <c r="O334" i="9" s="1"/>
  <c r="P334" i="9" s="1"/>
  <c r="N318" i="9"/>
  <c r="O318" i="9" s="1"/>
  <c r="P318" i="9" s="1"/>
  <c r="N302" i="9"/>
  <c r="O302" i="9" s="1"/>
  <c r="P302" i="9" s="1"/>
  <c r="N362" i="9"/>
  <c r="O362" i="9" s="1"/>
  <c r="P362" i="9" s="1"/>
  <c r="N322" i="9"/>
  <c r="O322" i="9" s="1"/>
  <c r="P322" i="9" s="1"/>
  <c r="N291" i="9"/>
  <c r="O291" i="9" s="1"/>
  <c r="P291" i="9" s="1"/>
  <c r="N259" i="9"/>
  <c r="O259" i="9" s="1"/>
  <c r="P259" i="9" s="1"/>
  <c r="N224" i="9"/>
  <c r="O224" i="9" s="1"/>
  <c r="P224" i="9" s="1"/>
  <c r="N103" i="9"/>
  <c r="O103" i="9" s="1"/>
  <c r="P103" i="9" s="1"/>
  <c r="N210" i="9"/>
  <c r="O210" i="9" s="1"/>
  <c r="P210" i="9" s="1"/>
  <c r="N178" i="9"/>
  <c r="O178" i="9" s="1"/>
  <c r="P178" i="9" s="1"/>
  <c r="N159" i="9"/>
  <c r="O159" i="9" s="1"/>
  <c r="P159" i="9" s="1"/>
  <c r="N231" i="9"/>
  <c r="O231" i="9" s="1"/>
  <c r="P231" i="9" s="1"/>
  <c r="N202" i="9"/>
  <c r="O202" i="9" s="1"/>
  <c r="P202" i="9" s="1"/>
  <c r="N135" i="9"/>
  <c r="O135" i="9" s="1"/>
  <c r="P135" i="9" s="1"/>
  <c r="N146" i="9"/>
  <c r="O146" i="9" s="1"/>
  <c r="P146" i="9" s="1"/>
  <c r="N114" i="9"/>
  <c r="O114" i="9" s="1"/>
  <c r="P114" i="9" s="1"/>
  <c r="N133" i="9"/>
  <c r="O133" i="9" s="1"/>
  <c r="P133" i="9" s="1"/>
  <c r="N152" i="9"/>
  <c r="O152" i="9" s="1"/>
  <c r="P152" i="9" s="1"/>
  <c r="N104" i="9"/>
  <c r="O104" i="9" s="1"/>
  <c r="P104" i="9" s="1"/>
  <c r="N58" i="9"/>
  <c r="O58" i="9" s="1"/>
  <c r="P58" i="9" s="1"/>
  <c r="N93" i="9"/>
  <c r="O93" i="9" s="1"/>
  <c r="P93" i="9" s="1"/>
  <c r="N66" i="9"/>
  <c r="O66" i="9" s="1"/>
  <c r="P66" i="9" s="1"/>
  <c r="N594" i="9"/>
  <c r="O594" i="9" s="1"/>
  <c r="P594" i="9" s="1"/>
  <c r="N73" i="9"/>
  <c r="O73" i="9" s="1"/>
  <c r="P73" i="9" s="1"/>
  <c r="N610" i="9"/>
  <c r="O610" i="9" s="1"/>
  <c r="P610" i="9" s="1"/>
  <c r="N40" i="9"/>
  <c r="O40" i="9" s="1"/>
  <c r="P40" i="9" s="1"/>
  <c r="N75" i="9"/>
  <c r="O75" i="9" s="1"/>
  <c r="P75" i="9" s="1"/>
  <c r="N83" i="9"/>
  <c r="O83" i="9" s="1"/>
  <c r="P83" i="9" s="1"/>
  <c r="N51" i="9"/>
  <c r="O51" i="9" s="1"/>
  <c r="P51" i="9" s="1"/>
  <c r="N50" i="9"/>
  <c r="O50" i="9" s="1"/>
  <c r="P50" i="9" s="1"/>
  <c r="N55" i="9"/>
  <c r="O55" i="9" s="1"/>
  <c r="P55" i="9" s="1"/>
  <c r="N648" i="9"/>
  <c r="O648" i="9" s="1"/>
  <c r="P648" i="9" s="1"/>
  <c r="N22" i="9"/>
  <c r="O22" i="9" s="1"/>
  <c r="P22" i="9" s="1"/>
  <c r="N16" i="9"/>
  <c r="O16" i="9" s="1"/>
  <c r="P16" i="9" s="1"/>
  <c r="N421" i="9"/>
  <c r="O421" i="9" s="1"/>
  <c r="P421" i="9" s="1"/>
  <c r="N20" i="9"/>
  <c r="O20" i="9" s="1"/>
  <c r="P20" i="9" s="1"/>
  <c r="N667" i="9"/>
  <c r="O667" i="9" s="1"/>
  <c r="P667" i="9" s="1"/>
  <c r="N7" i="9"/>
  <c r="O7" i="9" s="1"/>
  <c r="P7" i="9" s="1"/>
  <c r="N712" i="9"/>
  <c r="O712" i="9" s="1"/>
  <c r="P712" i="9" s="1"/>
  <c r="N621" i="9"/>
  <c r="O621" i="9" s="1"/>
  <c r="P621" i="9" s="1"/>
  <c r="N725" i="9"/>
  <c r="O725" i="9" s="1"/>
  <c r="P725" i="9" s="1"/>
  <c r="N684" i="9"/>
  <c r="O684" i="9" s="1"/>
  <c r="P684" i="9" s="1"/>
  <c r="N422" i="9"/>
  <c r="O422" i="9" s="1"/>
  <c r="P422" i="9" s="1"/>
  <c r="N26" i="9"/>
  <c r="O26" i="9" s="1"/>
  <c r="P26" i="9" s="1"/>
  <c r="N13" i="9"/>
  <c r="O13" i="9" s="1"/>
  <c r="P13" i="9" s="1"/>
  <c r="N703" i="9"/>
  <c r="O703" i="9" s="1"/>
  <c r="P703" i="9" s="1"/>
  <c r="N685" i="9"/>
  <c r="O685" i="9" s="1"/>
  <c r="P685" i="9" s="1"/>
  <c r="N633" i="9"/>
  <c r="O633" i="9" s="1"/>
  <c r="P633" i="9" s="1"/>
  <c r="N692" i="9"/>
  <c r="O692" i="9" s="1"/>
  <c r="P692" i="9" s="1"/>
  <c r="N669" i="9"/>
  <c r="O669" i="9" s="1"/>
  <c r="P669" i="9" s="1"/>
  <c r="N591" i="9"/>
  <c r="O591" i="9" s="1"/>
  <c r="P591" i="9" s="1"/>
  <c r="N566" i="9"/>
  <c r="O566" i="9" s="1"/>
  <c r="P566" i="9" s="1"/>
  <c r="N583" i="9"/>
  <c r="O583" i="9" s="1"/>
  <c r="P583" i="9" s="1"/>
  <c r="N662" i="9"/>
  <c r="O662" i="9" s="1"/>
  <c r="P662" i="9" s="1"/>
  <c r="N639" i="9"/>
  <c r="O639" i="9" s="1"/>
  <c r="P639" i="9" s="1"/>
  <c r="N702" i="9"/>
  <c r="O702" i="9" s="1"/>
  <c r="P702" i="9" s="1"/>
  <c r="N670" i="9"/>
  <c r="O670" i="9" s="1"/>
  <c r="P670" i="9" s="1"/>
  <c r="N592" i="9"/>
  <c r="O592" i="9" s="1"/>
  <c r="P592" i="9" s="1"/>
  <c r="N706" i="9"/>
  <c r="O706" i="9" s="1"/>
  <c r="P706" i="9" s="1"/>
  <c r="N674" i="9"/>
  <c r="O674" i="9" s="1"/>
  <c r="P674" i="9" s="1"/>
  <c r="N624" i="9"/>
  <c r="O624" i="9" s="1"/>
  <c r="P624" i="9" s="1"/>
  <c r="N572" i="9"/>
  <c r="O572" i="9" s="1"/>
  <c r="P572" i="9" s="1"/>
  <c r="N653" i="9"/>
  <c r="O653" i="9" s="1"/>
  <c r="P653" i="9" s="1"/>
  <c r="N642" i="9"/>
  <c r="O642" i="9" s="1"/>
  <c r="P642" i="9" s="1"/>
  <c r="N623" i="9"/>
  <c r="O623" i="9" s="1"/>
  <c r="P623" i="9" s="1"/>
  <c r="N573" i="9"/>
  <c r="O573" i="9" s="1"/>
  <c r="P573" i="9" s="1"/>
  <c r="N619" i="9"/>
  <c r="O619" i="9" s="1"/>
  <c r="P619" i="9" s="1"/>
  <c r="N576" i="9"/>
  <c r="O576" i="9" s="1"/>
  <c r="P576" i="9" s="1"/>
  <c r="N560" i="9"/>
  <c r="O560" i="9" s="1"/>
  <c r="P560" i="9" s="1"/>
  <c r="N584" i="9"/>
  <c r="O584" i="9" s="1"/>
  <c r="P584" i="9" s="1"/>
  <c r="N609" i="9"/>
  <c r="O609" i="9" s="1"/>
  <c r="P609" i="9" s="1"/>
  <c r="N165" i="9"/>
  <c r="O165" i="9" s="1"/>
  <c r="P165" i="9" s="1"/>
  <c r="N394" i="9"/>
  <c r="O394" i="9" s="1"/>
  <c r="P394" i="9" s="1"/>
  <c r="N204" i="9"/>
  <c r="O204" i="9" s="1"/>
  <c r="P204" i="9" s="1"/>
  <c r="N767" i="9"/>
  <c r="O767" i="9" s="1"/>
  <c r="P767" i="9" s="1"/>
  <c r="N276" i="9"/>
  <c r="O276" i="9" s="1"/>
  <c r="P276" i="9" s="1"/>
  <c r="N237" i="9"/>
  <c r="O237" i="9" s="1"/>
  <c r="P237" i="9" s="1"/>
  <c r="N293" i="9"/>
  <c r="O293" i="9" s="1"/>
  <c r="P293" i="9" s="1"/>
  <c r="N233" i="9"/>
  <c r="O233" i="9" s="1"/>
  <c r="P233" i="9" s="1"/>
  <c r="N145" i="9"/>
  <c r="O145" i="9" s="1"/>
  <c r="P145" i="9" s="1"/>
  <c r="N277" i="9"/>
  <c r="O277" i="9" s="1"/>
  <c r="P277" i="9" s="1"/>
  <c r="N796" i="9"/>
  <c r="O796" i="9" s="1"/>
  <c r="P796" i="9" s="1"/>
  <c r="N200" i="9"/>
  <c r="O200" i="9" s="1"/>
  <c r="P200" i="9" s="1"/>
  <c r="N331" i="9"/>
  <c r="O331" i="9" s="1"/>
  <c r="P331" i="9" s="1"/>
  <c r="N503" i="9"/>
  <c r="O503" i="9" s="1"/>
  <c r="P503" i="9" s="1"/>
  <c r="N779" i="9"/>
  <c r="O779" i="9" s="1"/>
  <c r="P779" i="9" s="1"/>
  <c r="N192" i="9"/>
  <c r="O192" i="9" s="1"/>
  <c r="P192" i="9" s="1"/>
  <c r="N127" i="9"/>
  <c r="O127" i="9" s="1"/>
  <c r="P127" i="9" s="1"/>
  <c r="N64" i="9"/>
  <c r="O64" i="9" s="1"/>
  <c r="P64" i="9" s="1"/>
  <c r="N185" i="9"/>
  <c r="O185" i="9" s="1"/>
  <c r="P185" i="9" s="1"/>
  <c r="N387" i="9"/>
  <c r="O387" i="9" s="1"/>
  <c r="P387" i="9" s="1"/>
  <c r="N209" i="9"/>
  <c r="O209" i="9" s="1"/>
  <c r="P209" i="9" s="1"/>
  <c r="N158" i="9"/>
  <c r="O158" i="9" s="1"/>
  <c r="P158" i="9" s="1"/>
  <c r="N382" i="9"/>
  <c r="O382" i="9" s="1"/>
  <c r="P382" i="9" s="1"/>
  <c r="N261" i="9"/>
  <c r="O261" i="9" s="1"/>
  <c r="P261" i="9" s="1"/>
  <c r="N241" i="9"/>
  <c r="O241" i="9" s="1"/>
  <c r="P241" i="9" s="1"/>
  <c r="N357" i="9"/>
  <c r="O357" i="9" s="1"/>
  <c r="P357" i="9" s="1"/>
  <c r="N733" i="9"/>
  <c r="O733" i="9" s="1"/>
  <c r="P733" i="9" s="1"/>
  <c r="N257" i="9"/>
  <c r="O257" i="9" s="1"/>
  <c r="P257" i="9" s="1"/>
  <c r="N324" i="9"/>
  <c r="O324" i="9" s="1"/>
  <c r="P324" i="9" s="1"/>
  <c r="N254" i="9"/>
  <c r="O254" i="9" s="1"/>
  <c r="P254" i="9" s="1"/>
  <c r="N808" i="9"/>
  <c r="O808" i="9" s="1"/>
  <c r="P808" i="9" s="1"/>
  <c r="N802" i="9"/>
  <c r="O802" i="9" s="1"/>
  <c r="P802" i="9" s="1"/>
  <c r="N731" i="9"/>
  <c r="O731" i="9" s="1"/>
  <c r="P731" i="9" s="1"/>
  <c r="N496" i="9"/>
  <c r="O496" i="9" s="1"/>
  <c r="P496" i="9" s="1"/>
  <c r="N488" i="9"/>
  <c r="O488" i="9" s="1"/>
  <c r="P488" i="9" s="1"/>
  <c r="N790" i="9"/>
  <c r="O790" i="9" s="1"/>
  <c r="P790" i="9" s="1"/>
  <c r="N751" i="9"/>
  <c r="O751" i="9" s="1"/>
  <c r="P751" i="9" s="1"/>
  <c r="N511" i="9"/>
  <c r="O511" i="9" s="1"/>
  <c r="P511" i="9" s="1"/>
  <c r="N789" i="9"/>
  <c r="O789" i="9" s="1"/>
  <c r="P789" i="9" s="1"/>
  <c r="N748" i="9"/>
  <c r="O748" i="9" s="1"/>
  <c r="P748" i="9" s="1"/>
  <c r="N770" i="9"/>
  <c r="O770" i="9" s="1"/>
  <c r="P770" i="9" s="1"/>
  <c r="N736" i="9"/>
  <c r="O736" i="9" s="1"/>
  <c r="P736" i="9" s="1"/>
  <c r="N506" i="9"/>
  <c r="O506" i="9" s="1"/>
  <c r="P506" i="9" s="1"/>
  <c r="N530" i="9"/>
  <c r="O530" i="9" s="1"/>
  <c r="P530" i="9" s="1"/>
  <c r="N533" i="9"/>
  <c r="O533" i="9" s="1"/>
  <c r="P533" i="9" s="1"/>
  <c r="N359" i="9"/>
  <c r="O359" i="9" s="1"/>
  <c r="P359" i="9" s="1"/>
  <c r="N319" i="9"/>
  <c r="O319" i="9" s="1"/>
  <c r="P319" i="9" s="1"/>
  <c r="N287" i="9"/>
  <c r="O287" i="9" s="1"/>
  <c r="P287" i="9" s="1"/>
  <c r="N281" i="9"/>
  <c r="O281" i="9" s="1"/>
  <c r="P281" i="9" s="1"/>
  <c r="N749" i="9"/>
  <c r="O749" i="9" s="1"/>
  <c r="P749" i="9" s="1"/>
  <c r="N222" i="9"/>
  <c r="O222" i="9" s="1"/>
  <c r="P222" i="9" s="1"/>
  <c r="N763" i="9"/>
  <c r="O763" i="9" s="1"/>
  <c r="P763" i="9" s="1"/>
  <c r="N182" i="9"/>
  <c r="O182" i="9" s="1"/>
  <c r="P182" i="9" s="1"/>
  <c r="N405" i="9"/>
  <c r="O405" i="9" s="1"/>
  <c r="P405" i="9" s="1"/>
  <c r="N341" i="9"/>
  <c r="O341" i="9" s="1"/>
  <c r="P341" i="9" s="1"/>
  <c r="N534" i="9"/>
  <c r="O534" i="9" s="1"/>
  <c r="P534" i="9" s="1"/>
  <c r="N315" i="9"/>
  <c r="O315" i="9" s="1"/>
  <c r="P315" i="9" s="1"/>
  <c r="N508" i="9"/>
  <c r="O508" i="9" s="1"/>
  <c r="P508" i="9" s="1"/>
  <c r="N768" i="9"/>
  <c r="O768" i="9" s="1"/>
  <c r="P768" i="9" s="1"/>
  <c r="N732" i="9"/>
  <c r="O732" i="9" s="1"/>
  <c r="P732" i="9" s="1"/>
  <c r="N343" i="9"/>
  <c r="O343" i="9" s="1"/>
  <c r="P343" i="9" s="1"/>
  <c r="N391" i="9"/>
  <c r="O391" i="9" s="1"/>
  <c r="P391" i="9" s="1"/>
  <c r="N345" i="9"/>
  <c r="O345" i="9" s="1"/>
  <c r="P345" i="9" s="1"/>
  <c r="N267" i="9"/>
  <c r="O267" i="9" s="1"/>
  <c r="P267" i="9" s="1"/>
  <c r="N326" i="9"/>
  <c r="O326" i="9" s="1"/>
  <c r="P326" i="9" s="1"/>
  <c r="N283" i="9"/>
  <c r="O283" i="9" s="1"/>
  <c r="P283" i="9" s="1"/>
  <c r="N298" i="9"/>
  <c r="O298" i="9" s="1"/>
  <c r="P298" i="9" s="1"/>
  <c r="N247" i="9"/>
  <c r="O247" i="9" s="1"/>
  <c r="P247" i="9" s="1"/>
  <c r="N223" i="9"/>
  <c r="O223" i="9" s="1"/>
  <c r="P223" i="9" s="1"/>
  <c r="N228" i="9"/>
  <c r="O228" i="9" s="1"/>
  <c r="P228" i="9" s="1"/>
  <c r="N163" i="9"/>
  <c r="O163" i="9" s="1"/>
  <c r="P163" i="9" s="1"/>
  <c r="N215" i="9"/>
  <c r="O215" i="9" s="1"/>
  <c r="P215" i="9" s="1"/>
  <c r="N130" i="9"/>
  <c r="O130" i="9" s="1"/>
  <c r="P130" i="9" s="1"/>
  <c r="N117" i="9"/>
  <c r="O117" i="9" s="1"/>
  <c r="P117" i="9" s="1"/>
  <c r="N80" i="9"/>
  <c r="O80" i="9" s="1"/>
  <c r="P80" i="9" s="1"/>
  <c r="N100" i="9"/>
  <c r="O100" i="9" s="1"/>
  <c r="P100" i="9" s="1"/>
  <c r="N62" i="9"/>
  <c r="O62" i="9" s="1"/>
  <c r="P62" i="9" s="1"/>
  <c r="N72" i="9"/>
  <c r="O72" i="9" s="1"/>
  <c r="P72" i="9" s="1"/>
  <c r="N36" i="9"/>
  <c r="O36" i="9" s="1"/>
  <c r="P36" i="9" s="1"/>
  <c r="N76" i="9"/>
  <c r="O76" i="9" s="1"/>
  <c r="P76" i="9" s="1"/>
  <c r="N44" i="9"/>
  <c r="O44" i="9" s="1"/>
  <c r="P44" i="9" s="1"/>
  <c r="N47" i="9"/>
  <c r="O47" i="9" s="1"/>
  <c r="P47" i="9" s="1"/>
  <c r="N10" i="9"/>
  <c r="O10" i="9" s="1"/>
  <c r="P10" i="9" s="1"/>
  <c r="N663" i="9"/>
  <c r="O663" i="9" s="1"/>
  <c r="P663" i="9" s="1"/>
  <c r="N716" i="9"/>
  <c r="O716" i="9" s="1"/>
  <c r="P716" i="9" s="1"/>
  <c r="N25" i="9"/>
  <c r="O25" i="9" s="1"/>
  <c r="P25" i="9" s="1"/>
  <c r="N626" i="9"/>
  <c r="O626" i="9" s="1"/>
  <c r="P626" i="9" s="1"/>
  <c r="N693" i="9"/>
  <c r="O693" i="9" s="1"/>
  <c r="P693" i="9" s="1"/>
  <c r="N711" i="9"/>
  <c r="O711" i="9" s="1"/>
  <c r="P711" i="9" s="1"/>
  <c r="N6" i="9"/>
  <c r="O6" i="9" s="1"/>
  <c r="P6" i="9" s="1"/>
  <c r="N559" i="9"/>
  <c r="O559" i="9" s="1"/>
  <c r="P559" i="9" s="1"/>
  <c r="N665" i="9"/>
  <c r="O665" i="9" s="1"/>
  <c r="P665" i="9" s="1"/>
  <c r="N675" i="9"/>
  <c r="O675" i="9" s="1"/>
  <c r="P675" i="9" s="1"/>
  <c r="N571" i="9"/>
  <c r="O571" i="9" s="1"/>
  <c r="P571" i="9" s="1"/>
  <c r="N562" i="9"/>
  <c r="O562" i="9" s="1"/>
  <c r="P562" i="9" s="1"/>
  <c r="N616" i="9"/>
  <c r="O616" i="9" s="1"/>
  <c r="P616" i="9" s="1"/>
  <c r="N686" i="9"/>
  <c r="O686" i="9" s="1"/>
  <c r="P686" i="9" s="1"/>
  <c r="N630" i="9"/>
  <c r="O630" i="9" s="1"/>
  <c r="P630" i="9" s="1"/>
  <c r="N661" i="9"/>
  <c r="O661" i="9" s="1"/>
  <c r="P661" i="9" s="1"/>
  <c r="N637" i="9"/>
  <c r="O637" i="9" s="1"/>
  <c r="P637" i="9" s="1"/>
  <c r="N635" i="9"/>
  <c r="O635" i="9" s="1"/>
  <c r="P635" i="9" s="1"/>
  <c r="N564" i="9"/>
  <c r="O564" i="9" s="1"/>
  <c r="P564" i="9" s="1"/>
  <c r="N605" i="9"/>
  <c r="O605" i="9" s="1"/>
  <c r="P605" i="9" s="1"/>
  <c r="N248" i="9"/>
  <c r="O248" i="9" s="1"/>
  <c r="P248" i="9" s="1"/>
  <c r="N139" i="9"/>
  <c r="O139" i="9" s="1"/>
  <c r="P139" i="9" s="1"/>
  <c r="N166" i="9"/>
  <c r="O166" i="9" s="1"/>
  <c r="P166" i="9" s="1"/>
  <c r="N184" i="9"/>
  <c r="O184" i="9" s="1"/>
  <c r="P184" i="9" s="1"/>
  <c r="N785" i="9"/>
  <c r="O785" i="9" s="1"/>
  <c r="P785" i="9" s="1"/>
  <c r="N377" i="9"/>
  <c r="O377" i="9" s="1"/>
  <c r="P377" i="9" s="1"/>
  <c r="N333" i="9"/>
  <c r="O333" i="9" s="1"/>
  <c r="P333" i="9" s="1"/>
  <c r="N791" i="9"/>
  <c r="O791" i="9" s="1"/>
  <c r="P791" i="9" s="1"/>
  <c r="N494" i="9"/>
  <c r="O494" i="9" s="1"/>
  <c r="P494" i="9" s="1"/>
  <c r="N546" i="9"/>
  <c r="O546" i="9" s="1"/>
  <c r="P546" i="9" s="1"/>
  <c r="N525" i="9"/>
  <c r="O525" i="9" s="1"/>
  <c r="P525" i="9" s="1"/>
  <c r="N272" i="9"/>
  <c r="O272" i="9" s="1"/>
  <c r="P272" i="9" s="1"/>
  <c r="N380" i="9"/>
  <c r="O380" i="9" s="1"/>
  <c r="P380" i="9" s="1"/>
  <c r="N351" i="9"/>
  <c r="O351" i="9" s="1"/>
  <c r="P351" i="9" s="1"/>
  <c r="N384" i="9"/>
  <c r="O384" i="9" s="1"/>
  <c r="P384" i="9" s="1"/>
  <c r="N313" i="9"/>
  <c r="O313" i="9" s="1"/>
  <c r="P313" i="9" s="1"/>
  <c r="N354" i="9"/>
  <c r="O354" i="9" s="1"/>
  <c r="P354" i="9" s="1"/>
  <c r="N279" i="9"/>
  <c r="O279" i="9" s="1"/>
  <c r="P279" i="9" s="1"/>
  <c r="N212" i="9"/>
  <c r="O212" i="9" s="1"/>
  <c r="P212" i="9" s="1"/>
  <c r="N195" i="9"/>
  <c r="O195" i="9" s="1"/>
  <c r="P195" i="9" s="1"/>
  <c r="N109" i="9"/>
  <c r="O109" i="9" s="1"/>
  <c r="P109" i="9" s="1"/>
  <c r="N136" i="9"/>
  <c r="O136" i="9" s="1"/>
  <c r="P136" i="9" s="1"/>
  <c r="N2" i="9"/>
  <c r="O2" i="9" s="1"/>
  <c r="P2" i="9" s="1"/>
  <c r="N45" i="9"/>
  <c r="O45" i="9" s="1"/>
  <c r="P45" i="9" s="1"/>
  <c r="N70" i="9"/>
  <c r="O70" i="9" s="1"/>
  <c r="P70" i="9" s="1"/>
  <c r="N67" i="9"/>
  <c r="O67" i="9" s="1"/>
  <c r="P67" i="9" s="1"/>
  <c r="N43" i="9"/>
  <c r="O43" i="9" s="1"/>
  <c r="P43" i="9" s="1"/>
  <c r="N664" i="9"/>
  <c r="O664" i="9" s="1"/>
  <c r="P664" i="9" s="1"/>
  <c r="N578" i="9"/>
  <c r="O578" i="9" s="1"/>
  <c r="P578" i="9" s="1"/>
  <c r="N683" i="9"/>
  <c r="O683" i="9" s="1"/>
  <c r="P683" i="9" s="1"/>
  <c r="N719" i="9"/>
  <c r="O719" i="9" s="1"/>
  <c r="P719" i="9" s="1"/>
  <c r="N726" i="9"/>
  <c r="O726" i="9" s="1"/>
  <c r="P726" i="9" s="1"/>
  <c r="N620" i="9"/>
  <c r="O620" i="9" s="1"/>
  <c r="P620" i="9" s="1"/>
  <c r="N677" i="9"/>
  <c r="O677" i="9" s="1"/>
  <c r="P677" i="9" s="1"/>
  <c r="N21" i="9"/>
  <c r="O21" i="9" s="1"/>
  <c r="P21" i="9" s="1"/>
  <c r="N701" i="9"/>
  <c r="O701" i="9" s="1"/>
  <c r="P701" i="9" s="1"/>
  <c r="N628" i="9"/>
  <c r="O628" i="9" s="1"/>
  <c r="P628" i="9" s="1"/>
  <c r="N659" i="9"/>
  <c r="O659" i="9" s="1"/>
  <c r="P659" i="9" s="1"/>
  <c r="N615" i="9"/>
  <c r="O615" i="9" s="1"/>
  <c r="P615" i="9" s="1"/>
  <c r="N649" i="9"/>
  <c r="O649" i="9" s="1"/>
  <c r="P649" i="9" s="1"/>
  <c r="N657" i="9"/>
  <c r="O657" i="9" s="1"/>
  <c r="P657" i="9" s="1"/>
  <c r="N640" i="9"/>
  <c r="O640" i="9" s="1"/>
  <c r="P640" i="9" s="1"/>
  <c r="N698" i="9"/>
  <c r="O698" i="9" s="1"/>
  <c r="P698" i="9" s="1"/>
  <c r="N614" i="9"/>
  <c r="O614" i="9" s="1"/>
  <c r="P614" i="9" s="1"/>
  <c r="N650" i="9"/>
  <c r="O650" i="9" s="1"/>
  <c r="P650" i="9" s="1"/>
  <c r="N612" i="9"/>
  <c r="O612" i="9" s="1"/>
  <c r="P612" i="9" s="1"/>
  <c r="N581" i="9"/>
  <c r="O581" i="9" s="1"/>
  <c r="P581" i="9" s="1"/>
  <c r="N589" i="9"/>
  <c r="O589" i="9" s="1"/>
  <c r="P589" i="9" s="1"/>
  <c r="N601" i="9"/>
  <c r="O601" i="9" s="1"/>
  <c r="P601" i="9" s="1"/>
  <c r="N176" i="9"/>
  <c r="O176" i="9" s="1"/>
  <c r="P176" i="9" s="1"/>
  <c r="N173" i="9"/>
  <c r="O173" i="9" s="1"/>
  <c r="P173" i="9" s="1"/>
  <c r="N481" i="9"/>
  <c r="O481" i="9" s="1"/>
  <c r="P481" i="9" s="1"/>
  <c r="N285" i="9"/>
  <c r="O285" i="9" s="1"/>
  <c r="P285" i="9" s="1"/>
  <c r="N197" i="9"/>
  <c r="O197" i="9" s="1"/>
  <c r="P197" i="9" s="1"/>
  <c r="N532" i="9"/>
  <c r="O532" i="9" s="1"/>
  <c r="P532" i="9" s="1"/>
  <c r="N479" i="9"/>
  <c r="O479" i="9" s="1"/>
  <c r="P479" i="9" s="1"/>
  <c r="N535" i="9"/>
  <c r="O535" i="9" s="1"/>
  <c r="P535" i="9" s="1"/>
  <c r="N487" i="9"/>
  <c r="O487" i="9" s="1"/>
  <c r="P487" i="9" s="1"/>
  <c r="N741" i="9"/>
  <c r="O741" i="9" s="1"/>
  <c r="P741" i="9" s="1"/>
  <c r="N538" i="9"/>
  <c r="O538" i="9" s="1"/>
  <c r="P538" i="9" s="1"/>
  <c r="N284" i="9"/>
  <c r="O284" i="9" s="1"/>
  <c r="P284" i="9" s="1"/>
  <c r="N375" i="9"/>
  <c r="O375" i="9" s="1"/>
  <c r="P375" i="9" s="1"/>
  <c r="N342" i="9"/>
  <c r="O342" i="9" s="1"/>
  <c r="P342" i="9" s="1"/>
  <c r="N376" i="9"/>
  <c r="O376" i="9" s="1"/>
  <c r="P376" i="9" s="1"/>
  <c r="N310" i="9"/>
  <c r="O310" i="9" s="1"/>
  <c r="P310" i="9" s="1"/>
  <c r="N346" i="9"/>
  <c r="O346" i="9" s="1"/>
  <c r="P346" i="9" s="1"/>
  <c r="N275" i="9"/>
  <c r="O275" i="9" s="1"/>
  <c r="P275" i="9" s="1"/>
  <c r="N235" i="9"/>
  <c r="O235" i="9" s="1"/>
  <c r="P235" i="9" s="1"/>
  <c r="N203" i="9"/>
  <c r="O203" i="9" s="1"/>
  <c r="P203" i="9" s="1"/>
  <c r="N147" i="9"/>
  <c r="O147" i="9" s="1"/>
  <c r="P147" i="9" s="1"/>
  <c r="N171" i="9"/>
  <c r="O171" i="9" s="1"/>
  <c r="P171" i="9" s="1"/>
  <c r="N107" i="9"/>
  <c r="O107" i="9" s="1"/>
  <c r="P107" i="9" s="1"/>
  <c r="N186" i="9"/>
  <c r="O186" i="9" s="1"/>
  <c r="P186" i="9" s="1"/>
  <c r="N157" i="9"/>
  <c r="O157" i="9" s="1"/>
  <c r="P157" i="9" s="1"/>
  <c r="N156" i="9"/>
  <c r="O156" i="9" s="1"/>
  <c r="P156" i="9" s="1"/>
  <c r="N128" i="9"/>
  <c r="O128" i="9" s="1"/>
  <c r="P128" i="9" s="1"/>
  <c r="N78" i="9"/>
  <c r="O78" i="9" s="1"/>
  <c r="P78" i="9" s="1"/>
  <c r="N89" i="9"/>
  <c r="O89" i="9" s="1"/>
  <c r="P89" i="9" s="1"/>
  <c r="N91" i="9"/>
  <c r="O91" i="9" s="1"/>
  <c r="P91" i="9" s="1"/>
  <c r="N595" i="9"/>
  <c r="O595" i="9" s="1"/>
  <c r="P595" i="9" s="1"/>
  <c r="N90" i="9"/>
  <c r="O90" i="9" s="1"/>
  <c r="P90" i="9" s="1"/>
  <c r="N39" i="9"/>
  <c r="O39" i="9" s="1"/>
  <c r="P39" i="9" s="1"/>
  <c r="N87" i="9"/>
  <c r="O87" i="9" s="1"/>
  <c r="P87" i="9" s="1"/>
  <c r="N579" i="9"/>
  <c r="O579" i="9" s="1"/>
  <c r="P579" i="9" s="1"/>
  <c r="N673" i="9"/>
  <c r="O673" i="9" s="1"/>
  <c r="P673" i="9" s="1"/>
  <c r="N704" i="9"/>
  <c r="O704" i="9" s="1"/>
  <c r="P704" i="9" s="1"/>
  <c r="N721" i="9"/>
  <c r="O721" i="9" s="1"/>
  <c r="P721" i="9" s="1"/>
  <c r="N611" i="9"/>
  <c r="O611" i="9" s="1"/>
  <c r="P611" i="9" s="1"/>
  <c r="N9" i="9"/>
  <c r="O9" i="9" s="1"/>
  <c r="P9" i="9" s="1"/>
  <c r="N634" i="9"/>
  <c r="O634" i="9" s="1"/>
  <c r="P634" i="9" s="1"/>
  <c r="N19" i="9"/>
  <c r="O19" i="9" s="1"/>
  <c r="P19" i="9" s="1"/>
  <c r="N691" i="9"/>
  <c r="O691" i="9" s="1"/>
  <c r="P691" i="9" s="1"/>
  <c r="N617" i="9"/>
  <c r="O617" i="9" s="1"/>
  <c r="P617" i="9" s="1"/>
  <c r="N644" i="9"/>
  <c r="O644" i="9" s="1"/>
  <c r="P644" i="9" s="1"/>
  <c r="N599" i="9"/>
  <c r="O599" i="9" s="1"/>
  <c r="P599" i="9" s="1"/>
  <c r="N608" i="9"/>
  <c r="O608" i="9" s="1"/>
  <c r="P608" i="9" s="1"/>
  <c r="N718" i="9"/>
  <c r="O718" i="9" s="1"/>
  <c r="P718" i="9" s="1"/>
  <c r="N631" i="9"/>
  <c r="O631" i="9" s="1"/>
  <c r="P631" i="9" s="1"/>
  <c r="N690" i="9"/>
  <c r="O690" i="9" s="1"/>
  <c r="P690" i="9" s="1"/>
  <c r="N606" i="9"/>
  <c r="O606" i="9" s="1"/>
  <c r="P606" i="9" s="1"/>
  <c r="N604" i="9"/>
  <c r="O604" i="9" s="1"/>
  <c r="P604" i="9" s="1"/>
  <c r="N580" i="9"/>
  <c r="O580" i="9" s="1"/>
  <c r="P580" i="9" s="1"/>
  <c r="N588" i="9"/>
  <c r="O588" i="9" s="1"/>
  <c r="P588" i="9" s="1"/>
  <c r="N363" i="9"/>
  <c r="O363" i="9" s="1"/>
  <c r="P363" i="9" s="1"/>
  <c r="N269" i="9"/>
  <c r="O269" i="9" s="1"/>
  <c r="P269" i="9" s="1"/>
  <c r="N249" i="9"/>
  <c r="O249" i="9" s="1"/>
  <c r="P249" i="9" s="1"/>
  <c r="N759" i="9"/>
  <c r="O759" i="9" s="1"/>
  <c r="P759" i="9" s="1"/>
  <c r="N735" i="9"/>
  <c r="O735" i="9" s="1"/>
  <c r="P735" i="9" s="1"/>
  <c r="N143" i="9"/>
  <c r="O143" i="9" s="1"/>
  <c r="P143" i="9" s="1"/>
  <c r="N403" i="9"/>
  <c r="O403" i="9" s="1"/>
  <c r="P403" i="9" s="1"/>
  <c r="N307" i="9"/>
  <c r="O307" i="9" s="1"/>
  <c r="P307" i="9" s="1"/>
  <c r="N794" i="9"/>
  <c r="O794" i="9" s="1"/>
  <c r="P794" i="9" s="1"/>
  <c r="N500" i="9"/>
  <c r="O500" i="9" s="1"/>
  <c r="P500" i="9" s="1"/>
  <c r="N813" i="9"/>
  <c r="O813" i="9" s="1"/>
  <c r="P813" i="9" s="1"/>
  <c r="N762" i="9"/>
  <c r="O762" i="9" s="1"/>
  <c r="P762" i="9" s="1"/>
  <c r="N513" i="9"/>
  <c r="O513" i="9" s="1"/>
  <c r="P513" i="9" s="1"/>
  <c r="N389" i="9"/>
  <c r="O389" i="9" s="1"/>
  <c r="P389" i="9" s="1"/>
  <c r="N396" i="9"/>
  <c r="O396" i="9" s="1"/>
  <c r="P396" i="9" s="1"/>
  <c r="N361" i="9"/>
  <c r="O361" i="9" s="1"/>
  <c r="P361" i="9" s="1"/>
  <c r="N288" i="9"/>
  <c r="O288" i="9" s="1"/>
  <c r="P288" i="9" s="1"/>
  <c r="N329" i="9"/>
  <c r="O329" i="9" s="1"/>
  <c r="P329" i="9" s="1"/>
  <c r="N314" i="9"/>
  <c r="O314" i="9" s="1"/>
  <c r="P314" i="9" s="1"/>
  <c r="N250" i="9"/>
  <c r="O250" i="9" s="1"/>
  <c r="P250" i="9" s="1"/>
  <c r="N207" i="9"/>
  <c r="O207" i="9" s="1"/>
  <c r="P207" i="9" s="1"/>
  <c r="N196" i="9"/>
  <c r="O196" i="9" s="1"/>
  <c r="P196" i="9" s="1"/>
  <c r="N227" i="9"/>
  <c r="O227" i="9" s="1"/>
  <c r="P227" i="9" s="1"/>
  <c r="N132" i="9"/>
  <c r="O132" i="9" s="1"/>
  <c r="P132" i="9" s="1"/>
  <c r="N124" i="9"/>
  <c r="O124" i="9" s="1"/>
  <c r="P124" i="9" s="1"/>
  <c r="N85" i="9"/>
  <c r="O85" i="9" s="1"/>
  <c r="P85" i="9" s="1"/>
  <c r="N48" i="9"/>
  <c r="O48" i="9" s="1"/>
  <c r="P48" i="9" s="1"/>
  <c r="N88" i="9"/>
  <c r="O88" i="9" s="1"/>
  <c r="P88" i="9" s="1"/>
  <c r="N3" i="9"/>
  <c r="O3" i="9" s="1"/>
  <c r="P3" i="9" s="1"/>
  <c r="N97" i="9"/>
  <c r="O97" i="9" s="1"/>
  <c r="P97" i="9" s="1"/>
  <c r="N84" i="9"/>
  <c r="O84" i="9" s="1"/>
  <c r="P84" i="9" s="1"/>
  <c r="N79" i="9"/>
  <c r="O79" i="9" s="1"/>
  <c r="P79" i="9" s="1"/>
  <c r="N647" i="9"/>
  <c r="O647" i="9" s="1"/>
  <c r="P647" i="9" s="1"/>
  <c r="N419" i="9"/>
  <c r="O419" i="9" s="1"/>
  <c r="P419" i="9" s="1"/>
  <c r="N636" i="9"/>
  <c r="O636" i="9" s="1"/>
  <c r="P636" i="9" s="1"/>
  <c r="N695" i="9"/>
  <c r="O695" i="9" s="1"/>
  <c r="P695" i="9" s="1"/>
  <c r="N723" i="9"/>
  <c r="O723" i="9" s="1"/>
  <c r="P723" i="9" s="1"/>
  <c r="N420" i="9"/>
  <c r="O420" i="9" s="1"/>
  <c r="P420" i="9" s="1"/>
  <c r="N11" i="9"/>
  <c r="O11" i="9" s="1"/>
  <c r="P11" i="9" s="1"/>
  <c r="N671" i="9"/>
  <c r="O671" i="9" s="1"/>
  <c r="P671" i="9" s="1"/>
  <c r="N687" i="9"/>
  <c r="O687" i="9" s="1"/>
  <c r="P687" i="9" s="1"/>
  <c r="N590" i="9"/>
  <c r="O590" i="9" s="1"/>
  <c r="P590" i="9" s="1"/>
  <c r="N563" i="9"/>
  <c r="O563" i="9" s="1"/>
  <c r="P563" i="9" s="1"/>
  <c r="N646" i="9"/>
  <c r="O646" i="9" s="1"/>
  <c r="P646" i="9" s="1"/>
  <c r="N694" i="9"/>
  <c r="O694" i="9" s="1"/>
  <c r="P694" i="9" s="1"/>
  <c r="N569" i="9"/>
  <c r="O569" i="9" s="1"/>
  <c r="P569" i="9" s="1"/>
  <c r="N666" i="9"/>
  <c r="O666" i="9" s="1"/>
  <c r="P666" i="9" s="1"/>
  <c r="N638" i="9"/>
  <c r="O638" i="9" s="1"/>
  <c r="P638" i="9" s="1"/>
  <c r="N568" i="9"/>
  <c r="O568" i="9" s="1"/>
  <c r="P568" i="9" s="1"/>
  <c r="N565" i="9"/>
  <c r="O565" i="9" s="1"/>
  <c r="P565" i="9" s="1"/>
  <c r="N613" i="9"/>
  <c r="O613" i="9" s="1"/>
  <c r="P613" i="9" s="1"/>
  <c r="D40" i="1"/>
  <c r="D33" i="1"/>
  <c r="D45" i="1"/>
  <c r="D38" i="3"/>
  <c r="D24" i="3"/>
  <c r="E27" i="3"/>
  <c r="D42" i="3"/>
  <c r="D22" i="3"/>
  <c r="D40" i="3"/>
  <c r="E33" i="3"/>
  <c r="C27" i="3"/>
  <c r="C33" i="3"/>
  <c r="D39" i="3"/>
  <c r="D41" i="3"/>
  <c r="D16" i="3"/>
  <c r="D23" i="3"/>
  <c r="D27" i="3"/>
  <c r="D33" i="3"/>
  <c r="D48" i="1"/>
  <c r="D26" i="1"/>
  <c r="E39" i="1"/>
  <c r="D46" i="1"/>
  <c r="C48" i="1"/>
  <c r="D28" i="1"/>
  <c r="D47" i="1"/>
  <c r="C32" i="1"/>
  <c r="H3" i="1" l="1"/>
  <c r="H3" i="3"/>
  <c r="K5" i="3"/>
  <c r="H5" i="3"/>
  <c r="K4" i="3"/>
  <c r="H4" i="3"/>
  <c r="K3" i="3"/>
  <c r="H10" i="1"/>
  <c r="H5" i="1"/>
  <c r="H4" i="1"/>
  <c r="H15" i="1"/>
  <c r="H16" i="1"/>
  <c r="H11" i="1"/>
  <c r="H12" i="1"/>
  <c r="H17" i="1"/>
  <c r="Q498" i="9"/>
  <c r="Q409" i="9"/>
  <c r="T15" i="2" s="1"/>
  <c r="Q414" i="9"/>
  <c r="T18" i="2" s="1"/>
  <c r="Q557" i="9"/>
  <c r="T13" i="2" s="1"/>
  <c r="Q239" i="9"/>
  <c r="T16" i="2" s="1"/>
  <c r="D43" i="1" s="1"/>
  <c r="Q816" i="9"/>
  <c r="Q727" i="9"/>
  <c r="T5" i="2" s="1"/>
  <c r="Q4" i="9"/>
  <c r="Q30" i="9"/>
  <c r="T4" i="2" s="1"/>
  <c r="Q98" i="9"/>
  <c r="T14" i="2" s="1"/>
  <c r="H10" i="3" l="1"/>
  <c r="H15" i="3" s="1"/>
  <c r="H9" i="3"/>
  <c r="H14" i="3" s="1"/>
  <c r="H8" i="3"/>
  <c r="T12" i="2"/>
  <c r="T11" i="2"/>
  <c r="T8" i="2"/>
  <c r="T9" i="2"/>
  <c r="T10" i="2"/>
  <c r="Q427" i="9"/>
  <c r="T6" i="2" s="1"/>
  <c r="H13" i="3" l="1"/>
  <c r="H17" i="3" s="1"/>
  <c r="H18" i="3" s="1"/>
  <c r="D29" i="1"/>
  <c r="H19" i="3"/>
  <c r="H429" i="9" l="1"/>
  <c r="K429" i="9"/>
  <c r="L429" i="9"/>
  <c r="I429" i="9"/>
  <c r="M429" i="9"/>
  <c r="D466" i="9"/>
  <c r="D469" i="9"/>
  <c r="D445" i="9"/>
  <c r="D446" i="9"/>
  <c r="D434" i="9"/>
  <c r="D456" i="9"/>
  <c r="D447" i="9"/>
  <c r="D451" i="9"/>
  <c r="D463" i="9"/>
  <c r="D475" i="9"/>
  <c r="J429" i="9"/>
  <c r="D452" i="9"/>
  <c r="D437" i="9"/>
  <c r="D438" i="9"/>
  <c r="D472" i="9"/>
  <c r="D458" i="9"/>
  <c r="D441" i="9"/>
  <c r="D453" i="9"/>
  <c r="D433" i="9"/>
  <c r="D442" i="9"/>
  <c r="D460" i="9"/>
  <c r="D439" i="9"/>
  <c r="D443" i="9"/>
  <c r="D455" i="9"/>
  <c r="D459" i="9"/>
  <c r="D471" i="9"/>
  <c r="F429" i="9"/>
  <c r="G429" i="9" s="1"/>
  <c r="D444" i="9"/>
  <c r="D476" i="9"/>
  <c r="D450" i="9"/>
  <c r="D474" i="9"/>
  <c r="D440" i="9"/>
  <c r="D462" i="9"/>
  <c r="D473" i="9"/>
  <c r="D457" i="9"/>
  <c r="D430" i="9"/>
  <c r="D448" i="9"/>
  <c r="D435" i="9"/>
  <c r="D467" i="9"/>
  <c r="D432" i="9"/>
  <c r="D429" i="9"/>
  <c r="D470" i="9"/>
  <c r="D454" i="9"/>
  <c r="D461" i="9"/>
  <c r="D465" i="9"/>
  <c r="D449" i="9"/>
  <c r="D464" i="9"/>
  <c r="D436" i="9"/>
  <c r="D431" i="9"/>
  <c r="D468" i="9"/>
  <c r="N429" i="9" l="1"/>
  <c r="O429" i="9" s="1"/>
  <c r="P429" i="9" s="1"/>
  <c r="Q477" i="9" s="1"/>
  <c r="T7" i="2" s="1"/>
  <c r="D36" i="1" s="1"/>
  <c r="AE22" i="1" l="1"/>
  <c r="AC23" i="1"/>
  <c r="AB23" i="1"/>
  <c r="V13" i="1"/>
  <c r="W23" i="1"/>
  <c r="AC20" i="1"/>
  <c r="W5" i="1"/>
  <c r="AE20" i="1"/>
  <c r="AE4" i="1"/>
  <c r="T23" i="1"/>
  <c r="AE21" i="1"/>
  <c r="AC22" i="1"/>
  <c r="AB16" i="1"/>
  <c r="T7" i="1"/>
  <c r="U21" i="1"/>
  <c r="AC13" i="1"/>
  <c r="T16" i="1"/>
  <c r="AC21" i="1"/>
  <c r="V21" i="1"/>
  <c r="AB9" i="1"/>
  <c r="AD13" i="1"/>
  <c r="U18" i="1"/>
  <c r="T18" i="1"/>
  <c r="U20" i="1"/>
  <c r="AD14" i="1"/>
  <c r="W21" i="1"/>
  <c r="AE24" i="1"/>
  <c r="AD22" i="1"/>
  <c r="V12" i="1"/>
  <c r="AB7" i="1"/>
  <c r="AD12" i="1"/>
  <c r="W16" i="1"/>
  <c r="U24" i="1"/>
  <c r="U16" i="1"/>
  <c r="AC24" i="1"/>
  <c r="W18" i="1"/>
  <c r="AD16" i="1"/>
  <c r="U23" i="1"/>
  <c r="AC12" i="1"/>
  <c r="AD20" i="1"/>
  <c r="W24" i="1"/>
  <c r="V20" i="1"/>
  <c r="AE18" i="1"/>
  <c r="AB8" i="1"/>
  <c r="V14" i="1"/>
  <c r="AB11" i="1"/>
  <c r="U14" i="1"/>
  <c r="V18" i="1"/>
  <c r="AB18" i="1"/>
  <c r="AD18" i="1"/>
  <c r="V23" i="1"/>
  <c r="V16" i="1"/>
  <c r="T14" i="1"/>
  <c r="AD21" i="1"/>
  <c r="T10" i="1"/>
  <c r="AB14" i="1"/>
  <c r="U12" i="1"/>
  <c r="AE16" i="1"/>
  <c r="AC18" i="1"/>
  <c r="AD24" i="1"/>
  <c r="V22" i="1"/>
  <c r="T9" i="1"/>
  <c r="AB10" i="1"/>
  <c r="W20" i="1"/>
  <c r="W22" i="1"/>
  <c r="AC14" i="1"/>
  <c r="T8" i="1"/>
  <c r="W4" i="1"/>
  <c r="AC16" i="1"/>
  <c r="AD23" i="1"/>
  <c r="U13" i="1"/>
  <c r="V24" i="1"/>
  <c r="AE23" i="1"/>
  <c r="AE5" i="1"/>
  <c r="T11" i="1"/>
  <c r="U22" i="1"/>
  <c r="H7" i="1"/>
  <c r="O22" i="1" l="1"/>
  <c r="M22" i="1"/>
  <c r="M23" i="1"/>
  <c r="O20" i="1"/>
  <c r="N18" i="1"/>
  <c r="O16" i="1"/>
  <c r="N24" i="1"/>
  <c r="N14" i="1"/>
  <c r="O18" i="1"/>
  <c r="M20" i="1"/>
  <c r="L11" i="1"/>
  <c r="L16" i="1"/>
  <c r="N23" i="1"/>
  <c r="M14" i="1"/>
  <c r="N21" i="1"/>
  <c r="M21" i="1"/>
  <c r="O5" i="1"/>
  <c r="N22" i="1"/>
  <c r="L14" i="1"/>
  <c r="O24" i="1"/>
  <c r="M24" i="1"/>
  <c r="M12" i="1"/>
  <c r="U32" i="1"/>
  <c r="V32" i="1"/>
  <c r="N12" i="1"/>
  <c r="W32" i="1"/>
  <c r="O4" i="1"/>
  <c r="N16" i="1"/>
  <c r="N13" i="1"/>
  <c r="M13" i="1"/>
  <c r="L8" i="1"/>
  <c r="L10" i="1"/>
  <c r="AC32" i="1"/>
  <c r="AD32" i="1"/>
  <c r="L18" i="1"/>
  <c r="L9" i="1"/>
  <c r="N20" i="1"/>
  <c r="M16" i="1"/>
  <c r="AB32" i="1"/>
  <c r="O21" i="1"/>
  <c r="M18" i="1"/>
  <c r="T32" i="1"/>
  <c r="L7" i="1"/>
  <c r="L23" i="1"/>
  <c r="AE32" i="1"/>
  <c r="O23" i="1"/>
  <c r="M32" i="1" l="1"/>
  <c r="N32" i="1"/>
  <c r="L32" i="1"/>
  <c r="O32" i="1"/>
</calcChain>
</file>

<file path=xl/sharedStrings.xml><?xml version="1.0" encoding="utf-8"?>
<sst xmlns="http://schemas.openxmlformats.org/spreadsheetml/2006/main" count="1267" uniqueCount="199">
  <si>
    <t>Therapie</t>
  </si>
  <si>
    <t>Activiteit op Ontslagtijdstip</t>
  </si>
  <si>
    <t>Blootstelling gedurende rekenperiode (µSv)</t>
  </si>
  <si>
    <t>Blootstelling periode met leefregels (µSv)</t>
  </si>
  <si>
    <t>Blootstelling periode zonder leefregels (µSv)</t>
  </si>
  <si>
    <t>Gebruik ontslagcriterium/-tijdstip</t>
  </si>
  <si>
    <t>Ontslagtijdstip</t>
  </si>
  <si>
    <t>GBq</t>
  </si>
  <si>
    <t>Handeling</t>
  </si>
  <si>
    <t>Kind</t>
  </si>
  <si>
    <t>Overigen</t>
  </si>
  <si>
    <t>Duur (uur)</t>
  </si>
  <si>
    <t>Afstand (m)</t>
  </si>
  <si>
    <t>Ontslagcriterium</t>
  </si>
  <si>
    <t>Verontreiniging #1</t>
  </si>
  <si>
    <t>h na toediening</t>
  </si>
  <si>
    <t>Verontreiniging #2</t>
  </si>
  <si>
    <t>Rekenperiode</t>
  </si>
  <si>
    <t>dagen</t>
  </si>
  <si>
    <t>Periode leefregels</t>
  </si>
  <si>
    <t>Dosistempo op Ontslagtijdstip</t>
  </si>
  <si>
    <t>Diameter patiënt</t>
  </si>
  <si>
    <t>cm</t>
  </si>
  <si>
    <t>Toegediende activiteit</t>
  </si>
  <si>
    <t>Desintegraties gedurende leefregels</t>
  </si>
  <si>
    <t>Geen verontreiniging</t>
  </si>
  <si>
    <t>Desintegraties gedurende rekenperiode na leefregels</t>
  </si>
  <si>
    <t>Volledig overzicht gebruikte gegevens</t>
  </si>
  <si>
    <t>uur na toediening</t>
  </si>
  <si>
    <t>uur na ontslag</t>
  </si>
  <si>
    <t>Blootstelling zonder leefregels (mSv)</t>
  </si>
  <si>
    <t>Blootstelling met leefregels (mSv)</t>
  </si>
  <si>
    <t>Modus</t>
  </si>
  <si>
    <t>λb1</t>
  </si>
  <si>
    <t>Sm-153 EDTMP</t>
  </si>
  <si>
    <t>Eu-154 EDTMP</t>
  </si>
  <si>
    <t>Eu-152 EDTMP</t>
  </si>
  <si>
    <t>ml</t>
  </si>
  <si>
    <t>uur</t>
  </si>
  <si>
    <t>Activiteit in druppel</t>
  </si>
  <si>
    <t>Huiddosistempo bij besmetting</t>
  </si>
  <si>
    <t>Huiddosistempo bij besmetting 10% druppel</t>
  </si>
  <si>
    <t>Volgdosis bij ingestie 10% druppel</t>
  </si>
  <si>
    <t>µSv</t>
  </si>
  <si>
    <t>DCC</t>
  </si>
  <si>
    <t>Blootstelling zonder leefregels</t>
  </si>
  <si>
    <t>Blootstelling met leefregels</t>
  </si>
  <si>
    <t>KarakteristiekeHandeling</t>
  </si>
  <si>
    <t>Duur</t>
  </si>
  <si>
    <t>Afstand</t>
  </si>
  <si>
    <t>Derde</t>
  </si>
  <si>
    <t>Betaald werk</t>
  </si>
  <si>
    <t>Werken</t>
  </si>
  <si>
    <t>nee</t>
  </si>
  <si>
    <t>ja</t>
  </si>
  <si>
    <t>Scholing</t>
  </si>
  <si>
    <t>Zorg voor het huishouden</t>
  </si>
  <si>
    <t>Geen</t>
  </si>
  <si>
    <t>Kinderen naar bed brengen</t>
  </si>
  <si>
    <t>Voor kinderen zorgen</t>
  </si>
  <si>
    <t>Kinderen fysieke verzorging</t>
  </si>
  <si>
    <t>Kinderen hulp met school</t>
  </si>
  <si>
    <t>Kinderen spelen, voorlezen</t>
  </si>
  <si>
    <t>Kind vergezellen</t>
  </si>
  <si>
    <t>Bedrust</t>
  </si>
  <si>
    <t>Slapen</t>
  </si>
  <si>
    <t>Vrijen</t>
  </si>
  <si>
    <t>Eten en drinken</t>
  </si>
  <si>
    <t>Samen tafelen</t>
  </si>
  <si>
    <t>Overige persoonlijke verzorging</t>
  </si>
  <si>
    <t>Sociale contacten</t>
  </si>
  <si>
    <t>Lezen</t>
  </si>
  <si>
    <t>Kijken (media)</t>
  </si>
  <si>
    <t>Sportbeoefening</t>
  </si>
  <si>
    <t>Sportwedstrijdbezoek</t>
  </si>
  <si>
    <t>Uitgaan</t>
  </si>
  <si>
    <t>Amateurkunstbeoefening</t>
  </si>
  <si>
    <t>Cultuurbezoek</t>
  </si>
  <si>
    <t>Vrijwilligerswerk</t>
  </si>
  <si>
    <t>Bijeenkomstenbezoek</t>
  </si>
  <si>
    <t>Niet geboekt</t>
  </si>
  <si>
    <t>mode</t>
  </si>
  <si>
    <t>tijd</t>
  </si>
  <si>
    <t>fractie</t>
  </si>
  <si>
    <t>Lu-177 PSMA</t>
  </si>
  <si>
    <t>Lu-177m PSMA</t>
  </si>
  <si>
    <t>Re-186 sulfide</t>
  </si>
  <si>
    <t>Re-186 HEDP</t>
  </si>
  <si>
    <t>Re-188 HEDP</t>
  </si>
  <si>
    <t>Sr-89</t>
  </si>
  <si>
    <t>Er-169 citraat colloid</t>
  </si>
  <si>
    <t>Radionuclide</t>
  </si>
  <si>
    <t>Type</t>
  </si>
  <si>
    <t>E(J)</t>
  </si>
  <si>
    <t>μ</t>
  </si>
  <si>
    <t>b</t>
  </si>
  <si>
    <t>c</t>
  </si>
  <si>
    <t>a</t>
  </si>
  <si>
    <t>d</t>
  </si>
  <si>
    <t>K(μr)</t>
  </si>
  <si>
    <t>B</t>
  </si>
  <si>
    <r>
      <t>f</t>
    </r>
    <r>
      <rPr>
        <b/>
        <vertAlign val="subscript"/>
        <sz val="11"/>
        <color theme="1"/>
        <rFont val="Calibri"/>
        <family val="2"/>
        <scheme val="minor"/>
      </rPr>
      <t>tli</t>
    </r>
  </si>
  <si>
    <t>X-ray</t>
  </si>
  <si>
    <t>g</t>
  </si>
  <si>
    <t xml:space="preserve"> g </t>
  </si>
  <si>
    <t xml:space="preserve"> g</t>
  </si>
  <si>
    <t>E (MeV)</t>
  </si>
  <si>
    <t>Photon Energy (MeV)</t>
  </si>
  <si>
    <t>0⁰</t>
  </si>
  <si>
    <t>max(±15⁰)</t>
  </si>
  <si>
    <t>max(±30⁰)</t>
  </si>
  <si>
    <t>max(±45⁰)</t>
  </si>
  <si>
    <t>max(±60⁰)</t>
  </si>
  <si>
    <t>max(±75⁰)</t>
  </si>
  <si>
    <t>max(±90⁰)</t>
  </si>
  <si>
    <t>180⁰</t>
  </si>
  <si>
    <t>ROT</t>
  </si>
  <si>
    <t>ISO</t>
  </si>
  <si>
    <t>SS-ISO</t>
  </si>
  <si>
    <t>IS-ISO</t>
  </si>
  <si>
    <t>yE/Φ</t>
  </si>
  <si>
    <t>(yE/Φ)*exp(-µr)*B</t>
  </si>
  <si>
    <r>
      <t>μ/</t>
    </r>
    <r>
      <rPr>
        <b/>
        <sz val="11"/>
        <color theme="1"/>
        <rFont val="Calibri"/>
        <family val="2"/>
      </rPr>
      <t>ρ</t>
    </r>
    <r>
      <rPr>
        <b/>
        <sz val="11"/>
        <color theme="1"/>
        <rFont val="Calibri"/>
        <family val="2"/>
        <scheme val="minor"/>
      </rPr>
      <t xml:space="preserve"> (cm</t>
    </r>
    <r>
      <rPr>
        <b/>
        <vertAlign val="superscript"/>
        <sz val="10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/g)</t>
    </r>
  </si>
  <si>
    <r>
      <t>A</t>
    </r>
    <r>
      <rPr>
        <b/>
        <vertAlign val="subscript"/>
        <sz val="11"/>
        <color theme="1"/>
        <rFont val="Calibri"/>
        <family val="2"/>
        <scheme val="minor"/>
      </rPr>
      <t>0</t>
    </r>
    <r>
      <rPr>
        <b/>
        <sz val="11"/>
        <color theme="1"/>
        <rFont val="Calibri"/>
        <family val="2"/>
        <scheme val="minor"/>
      </rPr>
      <t xml:space="preserve"> (GBq)</t>
    </r>
  </si>
  <si>
    <r>
      <t>f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</si>
  <si>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f</t>
    </r>
    <r>
      <rPr>
        <b/>
        <vertAlign val="subscript"/>
        <sz val="11"/>
        <color theme="1"/>
        <rFont val="Calibri"/>
        <family val="2"/>
        <scheme val="minor"/>
      </rPr>
      <t>1</t>
    </r>
  </si>
  <si>
    <r>
      <t>f</t>
    </r>
    <r>
      <rPr>
        <b/>
        <vertAlign val="subscript"/>
        <sz val="11"/>
        <color theme="1"/>
        <rFont val="Calibri"/>
        <family val="2"/>
        <scheme val="minor"/>
      </rPr>
      <t>2</t>
    </r>
  </si>
  <si>
    <t>Aantal giften</t>
  </si>
  <si>
    <r>
      <t>h</t>
    </r>
    <r>
      <rPr>
        <b/>
        <vertAlign val="subscript"/>
        <sz val="8"/>
        <color theme="1"/>
        <rFont val="Calibri"/>
        <family val="2"/>
        <scheme val="minor"/>
      </rPr>
      <t>foton</t>
    </r>
    <r>
      <rPr>
        <b/>
        <sz val="8"/>
        <color theme="1"/>
        <rFont val="Calibri"/>
        <family val="2"/>
        <scheme val="minor"/>
      </rPr>
      <t>(0.07)
(mSv h</t>
    </r>
    <r>
      <rPr>
        <b/>
        <vertAlign val="superscript"/>
        <sz val="8"/>
        <color theme="1"/>
        <rFont val="Calibri"/>
        <family val="2"/>
        <scheme val="minor"/>
      </rPr>
      <t>-1</t>
    </r>
    <r>
      <rPr>
        <b/>
        <sz val="8"/>
        <color theme="1"/>
        <rFont val="Calibri"/>
        <family val="2"/>
        <scheme val="minor"/>
      </rPr>
      <t>GBq</t>
    </r>
    <r>
      <rPr>
        <b/>
        <vertAlign val="superscript"/>
        <sz val="8"/>
        <color theme="1"/>
        <rFont val="Calibri"/>
        <family val="2"/>
        <scheme val="minor"/>
      </rPr>
      <t>-1</t>
    </r>
    <r>
      <rPr>
        <b/>
        <sz val="8"/>
        <color theme="1"/>
        <rFont val="Calibri"/>
        <family val="2"/>
        <scheme val="minor"/>
      </rPr>
      <t xml:space="preserve">  op 10cm)
[Otto, 2016]</t>
    </r>
  </si>
  <si>
    <r>
      <t>h</t>
    </r>
    <r>
      <rPr>
        <b/>
        <vertAlign val="subscript"/>
        <sz val="8"/>
        <color theme="1"/>
        <rFont val="Calibri"/>
        <family val="2"/>
        <scheme val="minor"/>
      </rPr>
      <t>huidbesmetting</t>
    </r>
    <r>
      <rPr>
        <b/>
        <sz val="8"/>
        <color theme="1"/>
        <rFont val="Calibri"/>
        <family val="2"/>
        <scheme val="minor"/>
      </rPr>
      <t>(0.07) 
(mSv h</t>
    </r>
    <r>
      <rPr>
        <b/>
        <vertAlign val="superscript"/>
        <sz val="8"/>
        <color theme="1"/>
        <rFont val="Calibri"/>
        <family val="2"/>
        <scheme val="minor"/>
      </rPr>
      <t>-1</t>
    </r>
    <r>
      <rPr>
        <b/>
        <sz val="8"/>
        <color theme="1"/>
        <rFont val="Calibri"/>
        <family val="2"/>
        <scheme val="minor"/>
      </rPr>
      <t>kBq</t>
    </r>
    <r>
      <rPr>
        <b/>
        <vertAlign val="superscript"/>
        <sz val="8"/>
        <color theme="1"/>
        <rFont val="Calibri"/>
        <family val="2"/>
        <scheme val="minor"/>
      </rPr>
      <t xml:space="preserve">-1 </t>
    </r>
    <r>
      <rPr>
        <b/>
        <sz val="8"/>
        <color theme="1"/>
        <rFont val="Calibri"/>
        <family val="2"/>
        <scheme val="minor"/>
      </rPr>
      <t>cm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) 
[Petoussi, 1993]</t>
    </r>
  </si>
  <si>
    <r>
      <t>h</t>
    </r>
    <r>
      <rPr>
        <b/>
        <vertAlign val="subscript"/>
        <sz val="8"/>
        <color theme="1"/>
        <rFont val="Calibri"/>
        <family val="2"/>
        <scheme val="minor"/>
      </rPr>
      <t>foton</t>
    </r>
    <r>
      <rPr>
        <b/>
        <sz val="8"/>
        <color theme="1"/>
        <rFont val="Calibri"/>
        <family val="2"/>
        <scheme val="minor"/>
      </rPr>
      <t>(10) 
(µSv h</t>
    </r>
    <r>
      <rPr>
        <b/>
        <vertAlign val="superscript"/>
        <sz val="8"/>
        <color theme="1"/>
        <rFont val="Calibri"/>
        <family val="2"/>
        <scheme val="minor"/>
      </rPr>
      <t>-1</t>
    </r>
    <r>
      <rPr>
        <b/>
        <sz val="8"/>
        <color theme="1"/>
        <rFont val="Calibri"/>
        <family val="2"/>
        <scheme val="minor"/>
      </rPr>
      <t>GBq</t>
    </r>
    <r>
      <rPr>
        <b/>
        <vertAlign val="superscript"/>
        <sz val="8"/>
        <color theme="1"/>
        <rFont val="Calibri"/>
        <family val="2"/>
        <scheme val="minor"/>
      </rPr>
      <t>-1</t>
    </r>
    <r>
      <rPr>
        <b/>
        <sz val="8"/>
        <color theme="1"/>
        <rFont val="Calibri"/>
        <family val="2"/>
        <scheme val="minor"/>
      </rPr>
      <t xml:space="preserve"> op 1m) 
[Otto, 2016]</t>
    </r>
  </si>
  <si>
    <r>
      <t>DCC (Sv Bq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) [ICRP 119, 2012]</t>
    </r>
  </si>
  <si>
    <r>
      <t>λ</t>
    </r>
    <r>
      <rPr>
        <b/>
        <vertAlign val="subscript"/>
        <sz val="11"/>
        <color theme="1"/>
        <rFont val="Calibri"/>
        <family val="2"/>
        <scheme val="minor"/>
      </rPr>
      <t xml:space="preserve">b,1 </t>
    </r>
    <r>
      <rPr>
        <b/>
        <sz val="11"/>
        <color theme="1"/>
        <rFont val="Calibri"/>
        <family val="2"/>
        <scheme val="minor"/>
      </rPr>
      <t>(h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)</t>
    </r>
  </si>
  <si>
    <r>
      <t>λ</t>
    </r>
    <r>
      <rPr>
        <b/>
        <vertAlign val="subscript"/>
        <sz val="11"/>
        <color theme="1"/>
        <rFont val="Calibri"/>
        <family val="2"/>
        <scheme val="minor"/>
      </rPr>
      <t xml:space="preserve">b,2 </t>
    </r>
    <r>
      <rPr>
        <b/>
        <sz val="11"/>
        <color theme="1"/>
        <rFont val="Calibri"/>
        <family val="2"/>
        <scheme val="minor"/>
      </rPr>
      <t>(h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)</t>
    </r>
  </si>
  <si>
    <r>
      <t>λ</t>
    </r>
    <r>
      <rPr>
        <b/>
        <vertAlign val="subscript"/>
        <sz val="11"/>
        <color theme="1"/>
        <rFont val="Calibri"/>
        <family val="2"/>
        <scheme val="minor"/>
      </rPr>
      <t>b,3</t>
    </r>
    <r>
      <rPr>
        <b/>
        <sz val="11"/>
        <color theme="1"/>
        <rFont val="Calibri"/>
        <family val="2"/>
        <scheme val="minor"/>
      </rPr>
      <t xml:space="preserve"> (h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)</t>
    </r>
  </si>
  <si>
    <r>
      <t>λ</t>
    </r>
    <r>
      <rPr>
        <b/>
        <vertAlign val="subscript"/>
        <sz val="11"/>
        <color theme="1"/>
        <rFont val="Calibri"/>
        <family val="2"/>
      </rPr>
      <t xml:space="preserve">f </t>
    </r>
    <r>
      <rPr>
        <b/>
        <sz val="11"/>
        <color theme="1"/>
        <rFont val="Calibri"/>
        <family val="2"/>
      </rPr>
      <t>(h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>)</t>
    </r>
  </si>
  <si>
    <r>
      <t>T</t>
    </r>
    <r>
      <rPr>
        <b/>
        <vertAlign val="sub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(h)</t>
    </r>
  </si>
  <si>
    <r>
      <t>T</t>
    </r>
    <r>
      <rPr>
        <b/>
        <vertAlign val="subscript"/>
        <sz val="11"/>
        <color theme="1"/>
        <rFont val="Calibri"/>
        <family val="2"/>
        <scheme val="minor"/>
      </rPr>
      <t xml:space="preserve">1 </t>
    </r>
    <r>
      <rPr>
        <b/>
        <sz val="11"/>
        <color theme="1"/>
        <rFont val="Calibri"/>
        <family val="2"/>
        <scheme val="minor"/>
      </rPr>
      <t>(h)</t>
    </r>
  </si>
  <si>
    <t>ml/uur</t>
  </si>
  <si>
    <t>ξ</t>
  </si>
  <si>
    <r>
      <t>f</t>
    </r>
    <r>
      <rPr>
        <b/>
        <vertAlign val="subscript"/>
        <sz val="8"/>
        <color theme="1"/>
        <rFont val="Calibri"/>
        <family val="2"/>
        <scheme val="minor"/>
      </rPr>
      <t>tli</t>
    </r>
  </si>
  <si>
    <r>
      <rPr>
        <vertAlign val="superscript"/>
        <sz val="8"/>
        <color theme="1"/>
        <rFont val="Calibri"/>
        <family val="2"/>
        <scheme val="minor"/>
      </rPr>
      <t>90</t>
    </r>
    <r>
      <rPr>
        <sz val="8"/>
        <color theme="1"/>
        <rFont val="Calibri"/>
        <family val="2"/>
        <scheme val="minor"/>
      </rPr>
      <t>Y</t>
    </r>
  </si>
  <si>
    <r>
      <rPr>
        <vertAlign val="superscript"/>
        <sz val="8"/>
        <color theme="1"/>
        <rFont val="Calibri"/>
        <family val="2"/>
        <scheme val="minor"/>
      </rPr>
      <t>131</t>
    </r>
    <r>
      <rPr>
        <sz val="8"/>
        <color theme="1"/>
        <rFont val="Calibri"/>
        <family val="2"/>
        <scheme val="minor"/>
      </rPr>
      <t>I</t>
    </r>
  </si>
  <si>
    <r>
      <rPr>
        <vertAlign val="superscript"/>
        <sz val="8"/>
        <color theme="1"/>
        <rFont val="Calibri"/>
        <family val="2"/>
        <scheme val="minor"/>
      </rPr>
      <t>153</t>
    </r>
    <r>
      <rPr>
        <sz val="8"/>
        <color theme="1"/>
        <rFont val="Calibri"/>
        <family val="2"/>
        <scheme val="minor"/>
      </rPr>
      <t>Sm</t>
    </r>
  </si>
  <si>
    <r>
      <rPr>
        <vertAlign val="superscript"/>
        <sz val="8"/>
        <color theme="1"/>
        <rFont val="Calibri"/>
        <family val="2"/>
        <scheme val="minor"/>
      </rPr>
      <t>152</t>
    </r>
    <r>
      <rPr>
        <sz val="8"/>
        <color theme="1"/>
        <rFont val="Calibri"/>
        <family val="2"/>
        <scheme val="minor"/>
      </rPr>
      <t>Eu</t>
    </r>
  </si>
  <si>
    <r>
      <rPr>
        <vertAlign val="superscript"/>
        <sz val="8"/>
        <color theme="1"/>
        <rFont val="Calibri"/>
        <family val="2"/>
        <scheme val="minor"/>
      </rPr>
      <t>154</t>
    </r>
    <r>
      <rPr>
        <sz val="8"/>
        <color theme="1"/>
        <rFont val="Calibri"/>
        <family val="2"/>
        <scheme val="minor"/>
      </rPr>
      <t>Eu</t>
    </r>
  </si>
  <si>
    <r>
      <rPr>
        <vertAlign val="superscript"/>
        <sz val="8"/>
        <color theme="1"/>
        <rFont val="Calibri"/>
        <family val="2"/>
        <scheme val="minor"/>
      </rPr>
      <t>169</t>
    </r>
    <r>
      <rPr>
        <sz val="8"/>
        <color theme="1"/>
        <rFont val="Calibri"/>
        <family val="2"/>
        <scheme val="minor"/>
      </rPr>
      <t>Er</t>
    </r>
  </si>
  <si>
    <r>
      <rPr>
        <vertAlign val="superscript"/>
        <sz val="8"/>
        <color theme="1"/>
        <rFont val="Calibri"/>
        <family val="2"/>
        <scheme val="minor"/>
      </rPr>
      <t>177</t>
    </r>
    <r>
      <rPr>
        <sz val="8"/>
        <color theme="1"/>
        <rFont val="Calibri"/>
        <family val="2"/>
        <scheme val="minor"/>
      </rPr>
      <t>Lu</t>
    </r>
  </si>
  <si>
    <r>
      <rPr>
        <vertAlign val="superscript"/>
        <sz val="8"/>
        <color theme="1"/>
        <rFont val="Calibri"/>
        <family val="2"/>
        <scheme val="minor"/>
      </rPr>
      <t>177m</t>
    </r>
    <r>
      <rPr>
        <sz val="8"/>
        <color theme="1"/>
        <rFont val="Calibri"/>
        <family val="2"/>
        <scheme val="minor"/>
      </rPr>
      <t>Lu</t>
    </r>
  </si>
  <si>
    <r>
      <rPr>
        <vertAlign val="superscript"/>
        <sz val="8"/>
        <color theme="1"/>
        <rFont val="Calibri"/>
        <family val="2"/>
        <scheme val="minor"/>
      </rPr>
      <t>186</t>
    </r>
    <r>
      <rPr>
        <sz val="8"/>
        <color theme="1"/>
        <rFont val="Calibri"/>
        <family val="2"/>
        <scheme val="minor"/>
      </rPr>
      <t>Re</t>
    </r>
  </si>
  <si>
    <r>
      <rPr>
        <vertAlign val="superscript"/>
        <sz val="8"/>
        <color theme="1"/>
        <rFont val="Calibri"/>
        <family val="2"/>
        <scheme val="minor"/>
      </rPr>
      <t>188</t>
    </r>
    <r>
      <rPr>
        <sz val="8"/>
        <color theme="1"/>
        <rFont val="Calibri"/>
        <family val="2"/>
        <scheme val="minor"/>
      </rPr>
      <t>Re</t>
    </r>
  </si>
  <si>
    <r>
      <rPr>
        <vertAlign val="superscript"/>
        <sz val="8"/>
        <color theme="1"/>
        <rFont val="Calibri"/>
        <family val="2"/>
        <scheme val="minor"/>
      </rPr>
      <t>223</t>
    </r>
    <r>
      <rPr>
        <sz val="8"/>
        <color theme="1"/>
        <rFont val="Calibri"/>
        <family val="2"/>
        <scheme val="minor"/>
      </rPr>
      <t>Ra (incl dochters)</t>
    </r>
  </si>
  <si>
    <r>
      <rPr>
        <vertAlign val="superscript"/>
        <sz val="8"/>
        <color theme="1"/>
        <rFont val="Calibri"/>
        <family val="2"/>
        <scheme val="minor"/>
      </rPr>
      <t>219</t>
    </r>
    <r>
      <rPr>
        <sz val="8"/>
        <color theme="1"/>
        <rFont val="Calibri"/>
        <family val="2"/>
        <scheme val="minor"/>
      </rPr>
      <t>Rn</t>
    </r>
  </si>
  <si>
    <r>
      <rPr>
        <vertAlign val="superscript"/>
        <sz val="8"/>
        <color theme="1"/>
        <rFont val="Calibri"/>
        <family val="2"/>
        <scheme val="minor"/>
      </rPr>
      <t>215</t>
    </r>
    <r>
      <rPr>
        <sz val="8"/>
        <color theme="1"/>
        <rFont val="Calibri"/>
        <family val="2"/>
        <scheme val="minor"/>
      </rPr>
      <t>Po</t>
    </r>
  </si>
  <si>
    <r>
      <rPr>
        <vertAlign val="superscript"/>
        <sz val="8"/>
        <color theme="1"/>
        <rFont val="Calibri"/>
        <family val="2"/>
        <scheme val="minor"/>
      </rPr>
      <t>211</t>
    </r>
    <r>
      <rPr>
        <sz val="8"/>
        <color theme="1"/>
        <rFont val="Calibri"/>
        <family val="2"/>
        <scheme val="minor"/>
      </rPr>
      <t>Pb</t>
    </r>
  </si>
  <si>
    <r>
      <rPr>
        <vertAlign val="superscript"/>
        <sz val="8"/>
        <color theme="1"/>
        <rFont val="Calibri"/>
        <family val="2"/>
        <scheme val="minor"/>
      </rPr>
      <t>211</t>
    </r>
    <r>
      <rPr>
        <sz val="8"/>
        <color theme="1"/>
        <rFont val="Calibri"/>
        <family val="2"/>
        <scheme val="minor"/>
      </rPr>
      <t>Bi</t>
    </r>
  </si>
  <si>
    <r>
      <rPr>
        <vertAlign val="superscript"/>
        <sz val="8"/>
        <color theme="1"/>
        <rFont val="Calibri"/>
        <family val="2"/>
        <scheme val="minor"/>
      </rPr>
      <t>207</t>
    </r>
    <r>
      <rPr>
        <sz val="8"/>
        <color theme="1"/>
        <rFont val="Calibri"/>
        <family val="2"/>
        <scheme val="minor"/>
      </rPr>
      <t>Tl (99,7% yield)</t>
    </r>
  </si>
  <si>
    <r>
      <rPr>
        <vertAlign val="superscript"/>
        <sz val="8"/>
        <color theme="1"/>
        <rFont val="Calibri"/>
        <family val="2"/>
        <scheme val="minor"/>
      </rPr>
      <t>223</t>
    </r>
    <r>
      <rPr>
        <sz val="8"/>
        <color theme="1"/>
        <rFont val="Calibri"/>
        <family val="2"/>
        <scheme val="minor"/>
      </rPr>
      <t>Ra
(geen dochters)</t>
    </r>
  </si>
  <si>
    <r>
      <t>E/Φ 
(pSv cm</t>
    </r>
    <r>
      <rPr>
        <b/>
        <vertAlign val="superscript"/>
        <sz val="8"/>
        <rFont val="Calibri"/>
        <family val="2"/>
        <scheme val="minor"/>
      </rPr>
      <t>2</t>
    </r>
    <r>
      <rPr>
        <b/>
        <sz val="8"/>
        <rFont val="Calibri"/>
        <family val="2"/>
        <scheme val="minor"/>
      </rPr>
      <t>)</t>
    </r>
  </si>
  <si>
    <t>E (Mev)</t>
  </si>
  <si>
    <t>yield
(photons/disint.)</t>
  </si>
  <si>
    <t>Partner &lt;60 jr</t>
  </si>
  <si>
    <t>Partner &gt;60 jr</t>
  </si>
  <si>
    <t>Duur met leefregels</t>
  </si>
  <si>
    <t>Afstand met leefregels</t>
  </si>
  <si>
    <t>GBq h</t>
  </si>
  <si>
    <r>
      <t>µSv h</t>
    </r>
    <r>
      <rPr>
        <vertAlign val="superscript"/>
        <sz val="8"/>
        <color theme="1"/>
        <rFont val="Calibri"/>
        <family val="2"/>
        <scheme val="minor"/>
      </rPr>
      <t>-1</t>
    </r>
    <r>
      <rPr>
        <sz val="8"/>
        <color theme="1"/>
        <rFont val="Calibri"/>
        <family val="2"/>
        <scheme val="minor"/>
      </rPr>
      <t xml:space="preserve"> op 1 meter</t>
    </r>
  </si>
  <si>
    <r>
      <t>µSv h</t>
    </r>
    <r>
      <rPr>
        <vertAlign val="superscript"/>
        <sz val="8"/>
        <color theme="1"/>
        <rFont val="Calibri"/>
        <family val="2"/>
        <scheme val="minor"/>
      </rPr>
      <t>-1</t>
    </r>
    <r>
      <rPr>
        <sz val="8"/>
        <color theme="1"/>
        <rFont val="Calibri"/>
        <family val="2"/>
        <scheme val="minor"/>
      </rPr>
      <t xml:space="preserve"> op 1 m</t>
    </r>
  </si>
  <si>
    <r>
      <t>λ</t>
    </r>
    <r>
      <rPr>
        <vertAlign val="subscript"/>
        <sz val="8"/>
        <color theme="1"/>
        <rFont val="Calibri"/>
        <family val="2"/>
      </rPr>
      <t>f</t>
    </r>
  </si>
  <si>
    <r>
      <t>h</t>
    </r>
    <r>
      <rPr>
        <vertAlign val="subscript"/>
        <sz val="8"/>
        <color theme="1"/>
        <rFont val="Calibri"/>
        <family val="2"/>
        <scheme val="minor"/>
      </rPr>
      <t>p</t>
    </r>
    <r>
      <rPr>
        <sz val="8"/>
        <color theme="1"/>
        <rFont val="Calibri"/>
        <family val="2"/>
        <scheme val="minor"/>
      </rPr>
      <t>(10)</t>
    </r>
  </si>
  <si>
    <r>
      <t>µSv h</t>
    </r>
    <r>
      <rPr>
        <vertAlign val="superscript"/>
        <sz val="8"/>
        <color theme="1"/>
        <rFont val="Calibri"/>
        <family val="2"/>
        <scheme val="minor"/>
      </rPr>
      <t>-1</t>
    </r>
    <r>
      <rPr>
        <sz val="8"/>
        <color theme="1"/>
        <rFont val="Calibri"/>
        <family val="2"/>
        <scheme val="minor"/>
      </rPr>
      <t>GBq</t>
    </r>
    <r>
      <rPr>
        <vertAlign val="superscript"/>
        <sz val="8"/>
        <color theme="1"/>
        <rFont val="Calibri"/>
        <family val="2"/>
        <scheme val="minor"/>
      </rPr>
      <t>-1</t>
    </r>
    <r>
      <rPr>
        <sz val="8"/>
        <color theme="1"/>
        <rFont val="Calibri"/>
        <family val="2"/>
        <scheme val="minor"/>
      </rPr>
      <t xml:space="preserve"> op 1 meter</t>
    </r>
  </si>
  <si>
    <r>
      <t>h</t>
    </r>
    <r>
      <rPr>
        <vertAlign val="subscript"/>
        <sz val="8"/>
        <color theme="1"/>
        <rFont val="Calibri"/>
        <family val="2"/>
        <scheme val="minor"/>
      </rPr>
      <t>p</t>
    </r>
    <r>
      <rPr>
        <sz val="8"/>
        <color theme="1"/>
        <rFont val="Calibri"/>
        <family val="2"/>
        <scheme val="minor"/>
      </rPr>
      <t>(0.07)</t>
    </r>
  </si>
  <si>
    <r>
      <t>mSv h</t>
    </r>
    <r>
      <rPr>
        <vertAlign val="superscript"/>
        <sz val="8"/>
        <color theme="1"/>
        <rFont val="Calibri"/>
        <family val="2"/>
        <scheme val="minor"/>
      </rPr>
      <t>-1</t>
    </r>
    <r>
      <rPr>
        <sz val="8"/>
        <color theme="1"/>
        <rFont val="Calibri"/>
        <family val="2"/>
        <scheme val="minor"/>
      </rPr>
      <t>GBq</t>
    </r>
    <r>
      <rPr>
        <vertAlign val="superscript"/>
        <sz val="8"/>
        <color theme="1"/>
        <rFont val="Calibri"/>
        <family val="2"/>
        <scheme val="minor"/>
      </rPr>
      <t>-1</t>
    </r>
    <r>
      <rPr>
        <sz val="8"/>
        <color theme="1"/>
        <rFont val="Calibri"/>
        <family val="2"/>
        <scheme val="minor"/>
      </rPr>
      <t xml:space="preserve"> op 10 centimeter</t>
    </r>
  </si>
  <si>
    <r>
      <t>f</t>
    </r>
    <r>
      <rPr>
        <vertAlign val="subscript"/>
        <sz val="8"/>
        <color theme="1"/>
        <rFont val="Calibri"/>
        <family val="2"/>
        <scheme val="minor"/>
      </rPr>
      <t>tli</t>
    </r>
  </si>
  <si>
    <r>
      <t xml:space="preserve">Activiteit op </t>
    </r>
    <r>
      <rPr>
        <b/>
        <sz val="8"/>
        <color theme="1"/>
        <rFont val="Calibri"/>
        <family val="2"/>
        <scheme val="minor"/>
      </rPr>
      <t>T</t>
    </r>
    <r>
      <rPr>
        <b/>
        <vertAlign val="subscript"/>
        <sz val="8"/>
        <color theme="1"/>
        <rFont val="Calibri"/>
        <family val="2"/>
        <scheme val="minor"/>
      </rPr>
      <t>aanmaak</t>
    </r>
  </si>
  <si>
    <r>
      <t xml:space="preserve">Activiteit op </t>
    </r>
    <r>
      <rPr>
        <b/>
        <sz val="8"/>
        <color theme="1"/>
        <rFont val="Calibri"/>
        <family val="2"/>
        <scheme val="minor"/>
      </rPr>
      <t>T</t>
    </r>
    <r>
      <rPr>
        <b/>
        <vertAlign val="subscript"/>
        <sz val="8"/>
        <color theme="1"/>
        <rFont val="Calibri"/>
        <family val="2"/>
        <scheme val="minor"/>
      </rPr>
      <t>aanmaak</t>
    </r>
    <r>
      <rPr>
        <b/>
        <sz val="8"/>
        <color theme="1"/>
        <rFont val="Calibri"/>
        <family val="2"/>
        <scheme val="minor"/>
      </rPr>
      <t xml:space="preserve"> + T</t>
    </r>
    <r>
      <rPr>
        <b/>
        <vertAlign val="subscript"/>
        <sz val="8"/>
        <color theme="1"/>
        <rFont val="Calibri"/>
        <family val="2"/>
        <scheme val="minor"/>
      </rPr>
      <t>mictie</t>
    </r>
  </si>
  <si>
    <r>
      <rPr>
        <sz val="8"/>
        <color theme="1"/>
        <rFont val="Calibri"/>
        <family val="2"/>
      </rPr>
      <t>Δ</t>
    </r>
    <r>
      <rPr>
        <sz val="8"/>
        <color theme="1"/>
        <rFont val="Calibri"/>
        <family val="2"/>
        <scheme val="minor"/>
      </rPr>
      <t xml:space="preserve">A gedurende </t>
    </r>
    <r>
      <rPr>
        <b/>
        <sz val="8"/>
        <color theme="1"/>
        <rFont val="Calibri"/>
        <family val="2"/>
        <scheme val="minor"/>
      </rPr>
      <t>T</t>
    </r>
    <r>
      <rPr>
        <b/>
        <vertAlign val="subscript"/>
        <sz val="8"/>
        <color theme="1"/>
        <rFont val="Calibri"/>
        <family val="2"/>
        <scheme val="minor"/>
      </rPr>
      <t>mictie</t>
    </r>
    <r>
      <rPr>
        <sz val="8"/>
        <color theme="1"/>
        <rFont val="Calibri"/>
        <family val="2"/>
        <scheme val="minor"/>
      </rPr>
      <t xml:space="preserve"> (gecorrigeerd voor fysisch verval)</t>
    </r>
  </si>
  <si>
    <r>
      <t>V</t>
    </r>
    <r>
      <rPr>
        <vertAlign val="subscript"/>
        <sz val="8"/>
        <color theme="1"/>
        <rFont val="Calibri"/>
        <family val="2"/>
        <scheme val="minor"/>
      </rPr>
      <t>druppel</t>
    </r>
  </si>
  <si>
    <r>
      <t>v</t>
    </r>
    <r>
      <rPr>
        <vertAlign val="subscript"/>
        <sz val="8"/>
        <color theme="1"/>
        <rFont val="Calibri"/>
        <family val="2"/>
        <scheme val="minor"/>
      </rPr>
      <t>U</t>
    </r>
  </si>
  <si>
    <r>
      <t>T</t>
    </r>
    <r>
      <rPr>
        <vertAlign val="subscript"/>
        <sz val="8"/>
        <color theme="1"/>
        <rFont val="Calibri"/>
        <family val="2"/>
        <scheme val="minor"/>
      </rPr>
      <t>mictie</t>
    </r>
  </si>
  <si>
    <r>
      <t>T</t>
    </r>
    <r>
      <rPr>
        <vertAlign val="subscript"/>
        <sz val="8"/>
        <color theme="1"/>
        <rFont val="Calibri"/>
        <family val="2"/>
        <scheme val="minor"/>
      </rPr>
      <t>aanmaak</t>
    </r>
  </si>
  <si>
    <r>
      <t>mSv h</t>
    </r>
    <r>
      <rPr>
        <vertAlign val="superscript"/>
        <sz val="8"/>
        <color theme="1"/>
        <rFont val="Calibri"/>
        <family val="2"/>
        <scheme val="minor"/>
      </rPr>
      <t>-1</t>
    </r>
  </si>
  <si>
    <r>
      <t>h</t>
    </r>
    <r>
      <rPr>
        <vertAlign val="subscript"/>
        <sz val="8"/>
        <color theme="1"/>
        <rFont val="Calibri"/>
        <family val="2"/>
        <scheme val="minor"/>
      </rPr>
      <t>huidbesmetting</t>
    </r>
    <r>
      <rPr>
        <sz val="8"/>
        <color theme="1"/>
        <rFont val="Calibri"/>
        <family val="2"/>
        <scheme val="minor"/>
      </rPr>
      <t>(0.07)</t>
    </r>
  </si>
  <si>
    <r>
      <t>mSv h</t>
    </r>
    <r>
      <rPr>
        <vertAlign val="superscript"/>
        <sz val="8"/>
        <color theme="1"/>
        <rFont val="Calibri"/>
        <family val="2"/>
        <scheme val="minor"/>
      </rPr>
      <t>-1</t>
    </r>
    <r>
      <rPr>
        <sz val="8"/>
        <color theme="1"/>
        <rFont val="Calibri"/>
        <family val="2"/>
        <scheme val="minor"/>
      </rPr>
      <t>kBq</t>
    </r>
    <r>
      <rPr>
        <vertAlign val="superscript"/>
        <sz val="8"/>
        <color theme="1"/>
        <rFont val="Calibri"/>
        <family val="2"/>
        <scheme val="minor"/>
      </rPr>
      <t>-1</t>
    </r>
    <r>
      <rPr>
        <sz val="8"/>
        <color theme="1"/>
        <rFont val="Calibri"/>
        <family val="2"/>
        <scheme val="minor"/>
      </rPr>
      <t xml:space="preserve"> op 1 cm²</t>
    </r>
  </si>
  <si>
    <r>
      <t>Sv Bq</t>
    </r>
    <r>
      <rPr>
        <vertAlign val="superscript"/>
        <sz val="8"/>
        <color theme="1"/>
        <rFont val="Calibri"/>
        <family val="2"/>
        <scheme val="minor"/>
      </rPr>
      <t>-1</t>
    </r>
  </si>
  <si>
    <t>Blootstelling (mSv)</t>
  </si>
  <si>
    <t>I-131 benigne (1,0 GBq)</t>
  </si>
  <si>
    <t>I-131 benigne (0,4 GBq)</t>
  </si>
  <si>
    <t>I-131 maligne</t>
  </si>
  <si>
    <t>Ra-223 dichloride</t>
  </si>
  <si>
    <t>Y-90 microsferen</t>
  </si>
  <si>
    <t>Y-90 ibritumomab</t>
  </si>
  <si>
    <t>Y-90 radiosynoviorthese</t>
  </si>
  <si>
    <t>Signaalwaarden (mSv)</t>
  </si>
  <si>
    <t>Verzorger &lt; 60 jaar</t>
  </si>
  <si>
    <r>
      <t xml:space="preserve">Verzorger </t>
    </r>
    <r>
      <rPr>
        <sz val="8"/>
        <color theme="1"/>
        <rFont val="Calibri"/>
        <family val="2"/>
      </rPr>
      <t xml:space="preserve">≥ </t>
    </r>
    <r>
      <rPr>
        <sz val="8"/>
        <color theme="1"/>
        <rFont val="Calibri"/>
        <family val="2"/>
        <scheme val="minor"/>
      </rPr>
      <t>60 jaar</t>
    </r>
  </si>
  <si>
    <r>
      <t xml:space="preserve">Verzorger </t>
    </r>
    <r>
      <rPr>
        <sz val="8"/>
        <color theme="1"/>
        <rFont val="Calibri"/>
        <family val="2"/>
      </rPr>
      <t>≥ 60 jaar</t>
    </r>
  </si>
  <si>
    <t>Nee</t>
  </si>
  <si>
    <r>
      <t>h</t>
    </r>
    <r>
      <rPr>
        <vertAlign val="superscript"/>
        <sz val="8"/>
        <color theme="1"/>
        <rFont val="Calibri"/>
        <family val="2"/>
        <scheme val="minor"/>
      </rPr>
      <t>-1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</si>
</sst>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"/>
    <numFmt numFmtId="166" formatCode="0.0000"/>
    <numFmt numFmtId="167" formatCode="0.000E+00"/>
    <numFmt numFmtId="168" formatCode="0.0E+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</font>
    <font>
      <b/>
      <vertAlign val="subscript"/>
      <sz val="11"/>
      <color theme="1"/>
      <name val="Calibri"/>
      <family val="2"/>
    </font>
    <font>
      <b/>
      <sz val="8"/>
      <color theme="1"/>
      <name val="Calibri"/>
      <family val="2"/>
      <scheme val="minor"/>
    </font>
    <font>
      <b/>
      <vertAlign val="subscript"/>
      <sz val="8"/>
      <color theme="1"/>
      <name val="Calibri"/>
      <family val="2"/>
      <scheme val="minor"/>
    </font>
    <font>
      <b/>
      <vertAlign val="superscript"/>
      <sz val="8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</font>
    <font>
      <b/>
      <sz val="8"/>
      <name val="Calibri"/>
      <family val="2"/>
      <scheme val="minor"/>
    </font>
    <font>
      <b/>
      <sz val="8"/>
      <color theme="1"/>
      <name val="Calibri"/>
      <family val="2"/>
    </font>
    <font>
      <sz val="8"/>
      <color theme="1"/>
      <name val="Calibri"/>
      <family val="2"/>
      <scheme val="minor"/>
    </font>
    <font>
      <vertAlign val="superscript"/>
      <sz val="8"/>
      <color theme="1"/>
      <name val="Calibri"/>
      <family val="2"/>
      <scheme val="minor"/>
    </font>
    <font>
      <sz val="8"/>
      <color rgb="FF000000"/>
      <name val="Arial Unicode MS"/>
      <family val="2"/>
    </font>
    <font>
      <b/>
      <vertAlign val="superscript"/>
      <sz val="8"/>
      <name val="Calibri"/>
      <family val="2"/>
      <scheme val="minor"/>
    </font>
    <font>
      <sz val="8"/>
      <color theme="1"/>
      <name val="Calibri"/>
      <family val="2"/>
    </font>
    <font>
      <vertAlign val="subscript"/>
      <sz val="8"/>
      <color theme="1"/>
      <name val="Calibri"/>
      <family val="2"/>
    </font>
    <font>
      <vertAlign val="subscript"/>
      <sz val="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/>
  </cellStyleXfs>
  <cellXfs count="221">
    <xf numFmtId="0" fontId="0" fillId="0" borderId="0" xfId="0"/>
    <xf numFmtId="0" fontId="1" fillId="0" borderId="0" xfId="0" applyFont="1"/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5" borderId="0" xfId="0" applyFill="1"/>
    <xf numFmtId="11" fontId="0" fillId="5" borderId="0" xfId="0" applyNumberFormat="1" applyFill="1"/>
    <xf numFmtId="0" fontId="1" fillId="0" borderId="6" xfId="0" applyFont="1" applyBorder="1"/>
    <xf numFmtId="0" fontId="1" fillId="0" borderId="48" xfId="0" applyFont="1" applyBorder="1"/>
    <xf numFmtId="0" fontId="0" fillId="0" borderId="51" xfId="0" applyBorder="1"/>
    <xf numFmtId="164" fontId="0" fillId="0" borderId="0" xfId="0" applyNumberFormat="1" applyBorder="1"/>
    <xf numFmtId="1" fontId="0" fillId="0" borderId="0" xfId="0" applyNumberFormat="1" applyBorder="1"/>
    <xf numFmtId="11" fontId="0" fillId="0" borderId="0" xfId="0" applyNumberFormat="1" applyBorder="1"/>
    <xf numFmtId="165" fontId="0" fillId="0" borderId="0" xfId="0" applyNumberFormat="1" applyBorder="1"/>
    <xf numFmtId="2" fontId="0" fillId="0" borderId="0" xfId="0" applyNumberFormat="1" applyBorder="1"/>
    <xf numFmtId="0" fontId="0" fillId="0" borderId="0" xfId="0" applyBorder="1"/>
    <xf numFmtId="11" fontId="0" fillId="0" borderId="23" xfId="0" applyNumberFormat="1" applyBorder="1"/>
    <xf numFmtId="0" fontId="0" fillId="0" borderId="52" xfId="0" applyBorder="1"/>
    <xf numFmtId="164" fontId="0" fillId="0" borderId="50" xfId="0" applyNumberFormat="1" applyBorder="1"/>
    <xf numFmtId="1" fontId="0" fillId="0" borderId="50" xfId="0" applyNumberFormat="1" applyBorder="1"/>
    <xf numFmtId="11" fontId="0" fillId="0" borderId="50" xfId="0" applyNumberFormat="1" applyBorder="1"/>
    <xf numFmtId="165" fontId="0" fillId="0" borderId="50" xfId="0" applyNumberFormat="1" applyBorder="1"/>
    <xf numFmtId="2" fontId="0" fillId="0" borderId="50" xfId="0" applyNumberFormat="1" applyBorder="1"/>
    <xf numFmtId="0" fontId="0" fillId="0" borderId="50" xfId="0" applyBorder="1"/>
    <xf numFmtId="0" fontId="0" fillId="0" borderId="6" xfId="0" applyBorder="1"/>
    <xf numFmtId="0" fontId="9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49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11" fontId="0" fillId="0" borderId="6" xfId="0" applyNumberFormat="1" applyBorder="1"/>
    <xf numFmtId="0" fontId="1" fillId="0" borderId="48" xfId="0" applyFont="1" applyBorder="1" applyAlignment="1">
      <alignment horizontal="center" vertical="center" wrapText="1"/>
    </xf>
    <xf numFmtId="0" fontId="1" fillId="0" borderId="54" xfId="0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11" fontId="0" fillId="0" borderId="52" xfId="0" applyNumberFormat="1" applyFont="1" applyBorder="1" applyAlignment="1">
      <alignment horizontal="center" vertical="center"/>
    </xf>
    <xf numFmtId="164" fontId="0" fillId="0" borderId="24" xfId="0" applyNumberFormat="1" applyBorder="1" applyAlignment="1">
      <alignment horizontal="center" vertical="center"/>
    </xf>
    <xf numFmtId="164" fontId="0" fillId="0" borderId="25" xfId="0" applyNumberFormat="1" applyBorder="1" applyAlignment="1">
      <alignment horizontal="center" vertical="center"/>
    </xf>
    <xf numFmtId="166" fontId="0" fillId="0" borderId="25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11" fontId="0" fillId="0" borderId="55" xfId="0" applyNumberFormat="1" applyFont="1" applyBorder="1" applyAlignment="1">
      <alignment horizontal="center" vertical="center"/>
    </xf>
    <xf numFmtId="164" fontId="0" fillId="0" borderId="26" xfId="0" applyNumberFormat="1" applyBorder="1" applyAlignment="1">
      <alignment horizontal="center" vertical="center"/>
    </xf>
    <xf numFmtId="164" fontId="0" fillId="0" borderId="27" xfId="0" applyNumberFormat="1" applyBorder="1" applyAlignment="1">
      <alignment horizontal="center" vertical="center"/>
    </xf>
    <xf numFmtId="166" fontId="0" fillId="0" borderId="27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0" fillId="0" borderId="27" xfId="0" applyBorder="1"/>
    <xf numFmtId="0" fontId="11" fillId="0" borderId="6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168" fontId="15" fillId="0" borderId="1" xfId="1" applyNumberFormat="1" applyFont="1" applyFill="1" applyBorder="1" applyAlignment="1">
      <alignment horizontal="center" vertical="center"/>
    </xf>
    <xf numFmtId="168" fontId="15" fillId="0" borderId="2" xfId="1" applyNumberFormat="1" applyFont="1" applyFill="1" applyBorder="1" applyAlignment="1">
      <alignment horizontal="center" vertical="center"/>
    </xf>
    <xf numFmtId="168" fontId="15" fillId="0" borderId="2" xfId="1" applyNumberFormat="1" applyFont="1" applyFill="1" applyBorder="1" applyAlignment="1">
      <alignment horizontal="center" vertical="center" wrapText="1"/>
    </xf>
    <xf numFmtId="168" fontId="15" fillId="0" borderId="57" xfId="1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58" xfId="0" applyFont="1" applyFill="1" applyBorder="1" applyAlignment="1">
      <alignment horizontal="center" vertical="center"/>
    </xf>
    <xf numFmtId="0" fontId="11" fillId="0" borderId="59" xfId="0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1" fillId="0" borderId="60" xfId="0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7" fillId="5" borderId="0" xfId="0" applyFont="1" applyFill="1" applyBorder="1"/>
    <xf numFmtId="0" fontId="17" fillId="0" borderId="0" xfId="0" applyFont="1" applyBorder="1"/>
    <xf numFmtId="0" fontId="17" fillId="0" borderId="62" xfId="0" applyFont="1" applyBorder="1"/>
    <xf numFmtId="168" fontId="19" fillId="0" borderId="27" xfId="0" applyNumberFormat="1" applyFont="1" applyBorder="1" applyAlignment="1">
      <alignment vertical="center"/>
    </xf>
    <xf numFmtId="168" fontId="17" fillId="0" borderId="27" xfId="0" applyNumberFormat="1" applyFont="1" applyBorder="1"/>
    <xf numFmtId="11" fontId="17" fillId="0" borderId="27" xfId="0" applyNumberFormat="1" applyFont="1" applyBorder="1"/>
    <xf numFmtId="0" fontId="17" fillId="0" borderId="27" xfId="0" applyFont="1" applyBorder="1"/>
    <xf numFmtId="0" fontId="17" fillId="5" borderId="0" xfId="0" applyFont="1" applyFill="1"/>
    <xf numFmtId="0" fontId="17" fillId="0" borderId="0" xfId="0" applyFont="1"/>
    <xf numFmtId="0" fontId="17" fillId="0" borderId="39" xfId="0" applyFont="1" applyBorder="1"/>
    <xf numFmtId="168" fontId="19" fillId="0" borderId="32" xfId="0" applyNumberFormat="1" applyFont="1" applyBorder="1" applyAlignment="1">
      <alignment vertical="center"/>
    </xf>
    <xf numFmtId="168" fontId="17" fillId="0" borderId="32" xfId="0" applyNumberFormat="1" applyFont="1" applyBorder="1"/>
    <xf numFmtId="11" fontId="17" fillId="0" borderId="32" xfId="0" applyNumberFormat="1" applyFont="1" applyBorder="1"/>
    <xf numFmtId="0" fontId="17" fillId="0" borderId="32" xfId="0" applyFont="1" applyBorder="1"/>
    <xf numFmtId="0" fontId="17" fillId="5" borderId="63" xfId="0" applyFont="1" applyFill="1" applyBorder="1"/>
    <xf numFmtId="0" fontId="17" fillId="5" borderId="39" xfId="0" applyFont="1" applyFill="1" applyBorder="1"/>
    <xf numFmtId="168" fontId="17" fillId="5" borderId="32" xfId="0" applyNumberFormat="1" applyFont="1" applyFill="1" applyBorder="1"/>
    <xf numFmtId="11" fontId="17" fillId="5" borderId="32" xfId="0" applyNumberFormat="1" applyFont="1" applyFill="1" applyBorder="1"/>
    <xf numFmtId="0" fontId="17" fillId="5" borderId="32" xfId="0" applyFont="1" applyFill="1" applyBorder="1"/>
    <xf numFmtId="168" fontId="19" fillId="0" borderId="32" xfId="0" applyNumberFormat="1" applyFont="1" applyFill="1" applyBorder="1" applyAlignment="1">
      <alignment vertical="center"/>
    </xf>
    <xf numFmtId="168" fontId="17" fillId="0" borderId="32" xfId="0" applyNumberFormat="1" applyFont="1" applyFill="1" applyBorder="1"/>
    <xf numFmtId="167" fontId="17" fillId="5" borderId="0" xfId="0" applyNumberFormat="1" applyFont="1" applyFill="1"/>
    <xf numFmtId="168" fontId="17" fillId="0" borderId="39" xfId="0" applyNumberFormat="1" applyFont="1" applyBorder="1"/>
    <xf numFmtId="0" fontId="17" fillId="0" borderId="63" xfId="0" applyFont="1" applyBorder="1"/>
    <xf numFmtId="0" fontId="17" fillId="5" borderId="64" xfId="0" applyFont="1" applyFill="1" applyBorder="1"/>
    <xf numFmtId="168" fontId="17" fillId="5" borderId="0" xfId="0" applyNumberFormat="1" applyFont="1" applyFill="1"/>
    <xf numFmtId="168" fontId="17" fillId="0" borderId="0" xfId="0" applyNumberFormat="1" applyFont="1"/>
    <xf numFmtId="2" fontId="17" fillId="0" borderId="27" xfId="0" applyNumberFormat="1" applyFont="1" applyBorder="1"/>
    <xf numFmtId="2" fontId="17" fillId="0" borderId="32" xfId="0" applyNumberFormat="1" applyFont="1" applyBorder="1"/>
    <xf numFmtId="2" fontId="17" fillId="5" borderId="32" xfId="0" applyNumberFormat="1" applyFont="1" applyFill="1" applyBorder="1"/>
    <xf numFmtId="0" fontId="1" fillId="5" borderId="0" xfId="0" applyFont="1" applyFill="1"/>
    <xf numFmtId="0" fontId="0" fillId="0" borderId="55" xfId="0" applyBorder="1"/>
    <xf numFmtId="0" fontId="0" fillId="0" borderId="12" xfId="0" applyBorder="1"/>
    <xf numFmtId="0" fontId="0" fillId="0" borderId="68" xfId="0" applyBorder="1"/>
    <xf numFmtId="0" fontId="0" fillId="0" borderId="26" xfId="0" applyBorder="1"/>
    <xf numFmtId="0" fontId="0" fillId="0" borderId="24" xfId="0" applyBorder="1"/>
    <xf numFmtId="0" fontId="0" fillId="0" borderId="70" xfId="0" applyBorder="1"/>
    <xf numFmtId="0" fontId="0" fillId="0" borderId="25" xfId="0" applyBorder="1"/>
    <xf numFmtId="0" fontId="1" fillId="0" borderId="24" xfId="0" applyFont="1" applyBorder="1"/>
    <xf numFmtId="0" fontId="1" fillId="0" borderId="25" xfId="0" applyFont="1" applyBorder="1"/>
    <xf numFmtId="0" fontId="0" fillId="0" borderId="17" xfId="0" applyBorder="1"/>
    <xf numFmtId="0" fontId="0" fillId="0" borderId="15" xfId="0" applyBorder="1"/>
    <xf numFmtId="0" fontId="0" fillId="0" borderId="16" xfId="0" applyBorder="1"/>
    <xf numFmtId="0" fontId="17" fillId="2" borderId="0" xfId="0" applyFont="1" applyFill="1" applyProtection="1"/>
    <xf numFmtId="0" fontId="17" fillId="2" borderId="0" xfId="0" applyFont="1" applyFill="1"/>
    <xf numFmtId="0" fontId="17" fillId="3" borderId="0" xfId="0" applyFont="1" applyFill="1" applyProtection="1"/>
    <xf numFmtId="0" fontId="17" fillId="4" borderId="0" xfId="0" applyFont="1" applyFill="1" applyAlignment="1" applyProtection="1">
      <alignment horizontal="right"/>
      <protection locked="0"/>
    </xf>
    <xf numFmtId="11" fontId="17" fillId="3" borderId="0" xfId="0" applyNumberFormat="1" applyFont="1" applyFill="1" applyProtection="1"/>
    <xf numFmtId="0" fontId="17" fillId="0" borderId="9" xfId="0" applyFont="1" applyBorder="1" applyProtection="1"/>
    <xf numFmtId="0" fontId="17" fillId="0" borderId="8" xfId="0" applyFont="1" applyBorder="1" applyProtection="1"/>
    <xf numFmtId="0" fontId="17" fillId="0" borderId="22" xfId="0" applyFont="1" applyBorder="1" applyProtection="1"/>
    <xf numFmtId="0" fontId="17" fillId="0" borderId="21" xfId="0" applyFont="1" applyBorder="1" applyProtection="1"/>
    <xf numFmtId="0" fontId="17" fillId="0" borderId="43" xfId="0" applyFont="1" applyBorder="1" applyProtection="1"/>
    <xf numFmtId="0" fontId="17" fillId="0" borderId="41" xfId="0" applyFont="1" applyBorder="1" applyProtection="1"/>
    <xf numFmtId="0" fontId="17" fillId="0" borderId="47" xfId="0" applyFont="1" applyBorder="1" applyProtection="1"/>
    <xf numFmtId="0" fontId="17" fillId="0" borderId="46" xfId="0" applyFont="1" applyBorder="1" applyProtection="1"/>
    <xf numFmtId="0" fontId="17" fillId="0" borderId="37" xfId="0" applyFont="1" applyBorder="1" applyProtection="1"/>
    <xf numFmtId="11" fontId="17" fillId="3" borderId="0" xfId="0" applyNumberFormat="1" applyFont="1" applyFill="1" applyAlignment="1" applyProtection="1">
      <alignment horizontal="right"/>
    </xf>
    <xf numFmtId="0" fontId="17" fillId="0" borderId="13" xfId="0" applyFont="1" applyBorder="1" applyProtection="1"/>
    <xf numFmtId="1" fontId="17" fillId="0" borderId="28" xfId="0" applyNumberFormat="1" applyFont="1" applyBorder="1" applyProtection="1"/>
    <xf numFmtId="1" fontId="17" fillId="0" borderId="31" xfId="0" applyNumberFormat="1" applyFont="1" applyBorder="1" applyProtection="1"/>
    <xf numFmtId="1" fontId="17" fillId="0" borderId="14" xfId="0" applyNumberFormat="1" applyFont="1" applyBorder="1" applyProtection="1"/>
    <xf numFmtId="1" fontId="17" fillId="0" borderId="42" xfId="0" applyNumberFormat="1" applyFont="1" applyBorder="1" applyProtection="1"/>
    <xf numFmtId="1" fontId="17" fillId="0" borderId="40" xfId="0" applyNumberFormat="1" applyFont="1" applyBorder="1" applyProtection="1"/>
    <xf numFmtId="2" fontId="17" fillId="4" borderId="0" xfId="0" applyNumberFormat="1" applyFont="1" applyFill="1" applyAlignment="1" applyProtection="1">
      <alignment horizontal="right"/>
      <protection locked="0"/>
    </xf>
    <xf numFmtId="0" fontId="17" fillId="0" borderId="11" xfId="0" applyFont="1" applyBorder="1" applyProtection="1"/>
    <xf numFmtId="1" fontId="17" fillId="0" borderId="29" xfId="0" applyNumberFormat="1" applyFont="1" applyBorder="1" applyProtection="1"/>
    <xf numFmtId="1" fontId="17" fillId="0" borderId="27" xfId="0" applyNumberFormat="1" applyFont="1" applyBorder="1" applyProtection="1"/>
    <xf numFmtId="1" fontId="17" fillId="0" borderId="12" xfId="0" applyNumberFormat="1" applyFont="1" applyBorder="1" applyProtection="1"/>
    <xf numFmtId="0" fontId="17" fillId="0" borderId="44" xfId="0" applyFont="1" applyBorder="1" applyProtection="1"/>
    <xf numFmtId="1" fontId="17" fillId="0" borderId="39" xfId="0" applyNumberFormat="1" applyFont="1" applyBorder="1" applyProtection="1"/>
    <xf numFmtId="1" fontId="17" fillId="0" borderId="0" xfId="0" applyNumberFormat="1" applyFont="1" applyBorder="1" applyProtection="1"/>
    <xf numFmtId="165" fontId="17" fillId="3" borderId="0" xfId="0" applyNumberFormat="1" applyFont="1" applyFill="1" applyProtection="1"/>
    <xf numFmtId="1" fontId="17" fillId="0" borderId="35" xfId="0" applyNumberFormat="1" applyFont="1" applyBorder="1" applyProtection="1"/>
    <xf numFmtId="1" fontId="17" fillId="0" borderId="36" xfId="0" applyNumberFormat="1" applyFont="1" applyBorder="1" applyProtection="1"/>
    <xf numFmtId="0" fontId="17" fillId="0" borderId="45" xfId="0" applyFont="1" applyBorder="1" applyProtection="1"/>
    <xf numFmtId="1" fontId="17" fillId="0" borderId="38" xfId="0" applyNumberFormat="1" applyFont="1" applyBorder="1" applyProtection="1"/>
    <xf numFmtId="1" fontId="17" fillId="0" borderId="41" xfId="0" applyNumberFormat="1" applyFont="1" applyBorder="1" applyProtection="1"/>
    <xf numFmtId="0" fontId="17" fillId="3" borderId="0" xfId="0" applyFont="1" applyFill="1" applyAlignment="1" applyProtection="1">
      <alignment horizontal="right"/>
    </xf>
    <xf numFmtId="2" fontId="17" fillId="3" borderId="0" xfId="0" applyNumberFormat="1" applyFont="1" applyFill="1" applyAlignment="1" applyProtection="1">
      <alignment horizontal="right"/>
    </xf>
    <xf numFmtId="0" fontId="17" fillId="0" borderId="10" xfId="0" applyFont="1" applyBorder="1" applyProtection="1"/>
    <xf numFmtId="1" fontId="17" fillId="0" borderId="30" xfId="0" applyNumberFormat="1" applyFont="1" applyBorder="1" applyProtection="1"/>
    <xf numFmtId="1" fontId="17" fillId="0" borderId="25" xfId="0" applyNumberFormat="1" applyFont="1" applyBorder="1" applyProtection="1"/>
    <xf numFmtId="1" fontId="17" fillId="0" borderId="6" xfId="0" applyNumberFormat="1" applyFont="1" applyBorder="1" applyProtection="1"/>
    <xf numFmtId="1" fontId="17" fillId="0" borderId="33" xfId="0" applyNumberFormat="1" applyFont="1" applyBorder="1" applyProtection="1"/>
    <xf numFmtId="1" fontId="17" fillId="0" borderId="34" xfId="0" applyNumberFormat="1" applyFont="1" applyBorder="1" applyProtection="1"/>
    <xf numFmtId="0" fontId="21" fillId="3" borderId="0" xfId="0" applyFont="1" applyFill="1" applyProtection="1"/>
    <xf numFmtId="0" fontId="17" fillId="2" borderId="0" xfId="0" applyFont="1" applyFill="1" applyBorder="1" applyProtection="1"/>
    <xf numFmtId="168" fontId="17" fillId="3" borderId="0" xfId="0" applyNumberFormat="1" applyFont="1" applyFill="1" applyAlignment="1" applyProtection="1">
      <alignment horizontal="right"/>
    </xf>
    <xf numFmtId="11" fontId="17" fillId="2" borderId="0" xfId="0" applyNumberFormat="1" applyFont="1" applyFill="1" applyProtection="1"/>
    <xf numFmtId="0" fontId="17" fillId="2" borderId="23" xfId="0" applyFont="1" applyFill="1" applyBorder="1" applyProtection="1"/>
    <xf numFmtId="0" fontId="17" fillId="2" borderId="0" xfId="0" applyFont="1" applyFill="1" applyBorder="1" applyAlignment="1" applyProtection="1"/>
    <xf numFmtId="0" fontId="17" fillId="0" borderId="26" xfId="0" applyFont="1" applyBorder="1" applyProtection="1"/>
    <xf numFmtId="0" fontId="17" fillId="0" borderId="27" xfId="0" applyFont="1" applyBorder="1" applyProtection="1"/>
    <xf numFmtId="0" fontId="17" fillId="0" borderId="12" xfId="0" applyFont="1" applyBorder="1" applyProtection="1"/>
    <xf numFmtId="0" fontId="17" fillId="0" borderId="24" xfId="0" applyFont="1" applyBorder="1" applyProtection="1"/>
    <xf numFmtId="0" fontId="17" fillId="0" borderId="25" xfId="0" applyFont="1" applyBorder="1" applyProtection="1"/>
    <xf numFmtId="0" fontId="17" fillId="0" borderId="23" xfId="0" applyFont="1" applyBorder="1" applyProtection="1"/>
    <xf numFmtId="0" fontId="17" fillId="0" borderId="17" xfId="0" applyFont="1" applyBorder="1" applyAlignment="1" applyProtection="1"/>
    <xf numFmtId="0" fontId="17" fillId="0" borderId="15" xfId="0" applyFont="1" applyBorder="1" applyAlignment="1" applyProtection="1"/>
    <xf numFmtId="0" fontId="17" fillId="0" borderId="16" xfId="0" applyFont="1" applyBorder="1" applyAlignment="1" applyProtection="1"/>
    <xf numFmtId="0" fontId="17" fillId="0" borderId="7" xfId="0" applyFont="1" applyBorder="1" applyProtection="1"/>
    <xf numFmtId="0" fontId="17" fillId="0" borderId="20" xfId="0" applyFont="1" applyBorder="1" applyProtection="1"/>
    <xf numFmtId="165" fontId="17" fillId="0" borderId="5" xfId="0" applyNumberFormat="1" applyFont="1" applyBorder="1" applyProtection="1"/>
    <xf numFmtId="165" fontId="17" fillId="0" borderId="19" xfId="0" applyNumberFormat="1" applyFont="1" applyBorder="1" applyProtection="1"/>
    <xf numFmtId="165" fontId="17" fillId="0" borderId="18" xfId="0" applyNumberFormat="1" applyFont="1" applyBorder="1" applyProtection="1"/>
    <xf numFmtId="165" fontId="17" fillId="2" borderId="0" xfId="0" applyNumberFormat="1" applyFont="1" applyFill="1" applyBorder="1" applyProtection="1"/>
    <xf numFmtId="165" fontId="17" fillId="0" borderId="24" xfId="0" applyNumberFormat="1" applyFont="1" applyBorder="1" applyProtection="1"/>
    <xf numFmtId="165" fontId="17" fillId="0" borderId="25" xfId="0" applyNumberFormat="1" applyFont="1" applyBorder="1" applyProtection="1"/>
    <xf numFmtId="165" fontId="17" fillId="0" borderId="6" xfId="0" applyNumberFormat="1" applyFont="1" applyBorder="1" applyProtection="1"/>
    <xf numFmtId="0" fontId="21" fillId="2" borderId="0" xfId="0" applyFont="1" applyFill="1" applyProtection="1"/>
    <xf numFmtId="0" fontId="17" fillId="3" borderId="0" xfId="0" applyFont="1" applyFill="1"/>
    <xf numFmtId="11" fontId="17" fillId="3" borderId="0" xfId="0" applyNumberFormat="1" applyFont="1" applyFill="1" applyAlignment="1">
      <alignment horizontal="right"/>
    </xf>
    <xf numFmtId="11" fontId="17" fillId="2" borderId="0" xfId="0" applyNumberFormat="1" applyFont="1" applyFill="1"/>
    <xf numFmtId="11" fontId="17" fillId="3" borderId="0" xfId="0" applyNumberFormat="1" applyFont="1" applyFill="1"/>
    <xf numFmtId="165" fontId="17" fillId="3" borderId="0" xfId="0" applyNumberFormat="1" applyFont="1" applyFill="1"/>
    <xf numFmtId="168" fontId="17" fillId="3" borderId="0" xfId="0" applyNumberFormat="1" applyFont="1" applyFill="1"/>
    <xf numFmtId="0" fontId="17" fillId="3" borderId="0" xfId="0" applyFont="1" applyFill="1" applyAlignment="1">
      <alignment horizontal="right"/>
    </xf>
    <xf numFmtId="0" fontId="21" fillId="3" borderId="0" xfId="0" applyFont="1" applyFill="1"/>
    <xf numFmtId="0" fontId="17" fillId="4" borderId="0" xfId="0" applyFont="1" applyFill="1" applyProtection="1">
      <protection locked="0"/>
    </xf>
    <xf numFmtId="165" fontId="17" fillId="4" borderId="0" xfId="0" applyNumberFormat="1" applyFont="1" applyFill="1" applyProtection="1">
      <protection locked="0"/>
    </xf>
    <xf numFmtId="167" fontId="0" fillId="5" borderId="0" xfId="0" applyNumberFormat="1" applyFill="1"/>
    <xf numFmtId="167" fontId="0" fillId="6" borderId="23" xfId="0" applyNumberFormat="1" applyFont="1" applyFill="1" applyBorder="1"/>
    <xf numFmtId="167" fontId="0" fillId="6" borderId="6" xfId="0" applyNumberFormat="1" applyFont="1" applyFill="1" applyBorder="1"/>
    <xf numFmtId="0" fontId="1" fillId="6" borderId="16" xfId="0" applyFont="1" applyFill="1" applyBorder="1" applyAlignment="1">
      <alignment horizontal="center" vertical="center"/>
    </xf>
    <xf numFmtId="0" fontId="1" fillId="6" borderId="68" xfId="0" applyFont="1" applyFill="1" applyBorder="1" applyAlignment="1">
      <alignment horizontal="center" vertical="center"/>
    </xf>
    <xf numFmtId="11" fontId="0" fillId="6" borderId="71" xfId="0" applyNumberFormat="1" applyFont="1" applyFill="1" applyBorder="1"/>
    <xf numFmtId="11" fontId="0" fillId="6" borderId="24" xfId="0" applyNumberFormat="1" applyFont="1" applyFill="1" applyBorder="1"/>
    <xf numFmtId="11" fontId="8" fillId="6" borderId="0" xfId="1" applyNumberFormat="1" applyFont="1" applyFill="1" applyBorder="1" applyAlignment="1">
      <alignment horizontal="right"/>
    </xf>
    <xf numFmtId="0" fontId="7" fillId="6" borderId="15" xfId="1" applyFont="1" applyFill="1" applyBorder="1" applyAlignment="1">
      <alignment horizontal="left"/>
    </xf>
    <xf numFmtId="0" fontId="1" fillId="6" borderId="15" xfId="0" applyFont="1" applyFill="1" applyBorder="1"/>
    <xf numFmtId="0" fontId="1" fillId="6" borderId="16" xfId="0" applyFont="1" applyFill="1" applyBorder="1"/>
    <xf numFmtId="11" fontId="0" fillId="6" borderId="0" xfId="0" applyNumberFormat="1" applyFont="1" applyFill="1" applyBorder="1" applyAlignment="1">
      <alignment horizontal="right"/>
    </xf>
    <xf numFmtId="11" fontId="0" fillId="6" borderId="0" xfId="0" applyNumberFormat="1" applyFont="1" applyFill="1" applyBorder="1"/>
    <xf numFmtId="11" fontId="0" fillId="6" borderId="23" xfId="0" applyNumberFormat="1" applyFont="1" applyFill="1" applyBorder="1"/>
    <xf numFmtId="11" fontId="8" fillId="6" borderId="0" xfId="1" applyNumberFormat="1" applyFont="1" applyFill="1" applyBorder="1" applyAlignment="1"/>
    <xf numFmtId="11" fontId="0" fillId="6" borderId="50" xfId="0" applyNumberFormat="1" applyFont="1" applyFill="1" applyBorder="1" applyAlignment="1">
      <alignment horizontal="right"/>
    </xf>
    <xf numFmtId="11" fontId="0" fillId="6" borderId="50" xfId="0" applyNumberFormat="1" applyFont="1" applyFill="1" applyBorder="1"/>
    <xf numFmtId="11" fontId="0" fillId="6" borderId="6" xfId="0" applyNumberFormat="1" applyFont="1" applyFill="1" applyBorder="1"/>
    <xf numFmtId="0" fontId="6" fillId="6" borderId="68" xfId="1" applyFont="1" applyFill="1" applyBorder="1" applyAlignment="1">
      <alignment horizontal="center" vertical="center"/>
    </xf>
    <xf numFmtId="11" fontId="0" fillId="6" borderId="71" xfId="0" applyNumberFormat="1" applyFont="1" applyFill="1" applyBorder="1" applyAlignment="1">
      <alignment horizontal="right" vertical="top"/>
    </xf>
    <xf numFmtId="11" fontId="8" fillId="6" borderId="71" xfId="1" applyNumberFormat="1" applyFont="1" applyFill="1" applyBorder="1" applyAlignment="1">
      <alignment horizontal="right" vertical="top"/>
    </xf>
    <xf numFmtId="11" fontId="17" fillId="7" borderId="0" xfId="0" applyNumberFormat="1" applyFont="1" applyFill="1"/>
    <xf numFmtId="0" fontId="17" fillId="7" borderId="0" xfId="0" applyFont="1" applyFill="1"/>
    <xf numFmtId="168" fontId="17" fillId="7" borderId="0" xfId="0" applyNumberFormat="1" applyFont="1" applyFill="1"/>
    <xf numFmtId="0" fontId="17" fillId="0" borderId="17" xfId="0" applyFont="1" applyBorder="1" applyAlignment="1" applyProtection="1">
      <alignment horizontal="center"/>
    </xf>
    <xf numFmtId="0" fontId="17" fillId="0" borderId="15" xfId="0" applyFont="1" applyBorder="1" applyAlignment="1" applyProtection="1">
      <alignment horizontal="center"/>
    </xf>
    <xf numFmtId="0" fontId="17" fillId="0" borderId="16" xfId="0" applyFont="1" applyBorder="1" applyAlignment="1" applyProtection="1">
      <alignment horizontal="center"/>
    </xf>
    <xf numFmtId="0" fontId="0" fillId="0" borderId="17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1" fillId="0" borderId="67" xfId="0" applyFont="1" applyBorder="1" applyAlignment="1">
      <alignment horizontal="left" vertical="top"/>
    </xf>
    <xf numFmtId="0" fontId="1" fillId="0" borderId="52" xfId="0" applyFont="1" applyBorder="1" applyAlignment="1">
      <alignment horizontal="left" vertical="top"/>
    </xf>
    <xf numFmtId="0" fontId="1" fillId="0" borderId="69" xfId="0" applyFont="1" applyBorder="1" applyAlignment="1">
      <alignment horizontal="left" vertical="top"/>
    </xf>
    <xf numFmtId="0" fontId="1" fillId="0" borderId="24" xfId="0" applyFont="1" applyBorder="1" applyAlignment="1">
      <alignment horizontal="left" vertical="top"/>
    </xf>
    <xf numFmtId="0" fontId="1" fillId="0" borderId="56" xfId="0" applyFont="1" applyBorder="1" applyAlignment="1">
      <alignment horizontal="left" vertical="top"/>
    </xf>
    <xf numFmtId="0" fontId="1" fillId="0" borderId="25" xfId="0" applyFont="1" applyBorder="1" applyAlignment="1">
      <alignment horizontal="left" vertical="top"/>
    </xf>
    <xf numFmtId="0" fontId="1" fillId="0" borderId="56" xfId="0" applyFont="1" applyBorder="1" applyAlignment="1">
      <alignment horizontal="left" vertical="top" wrapText="1"/>
    </xf>
    <xf numFmtId="0" fontId="1" fillId="0" borderId="25" xfId="0" applyFont="1" applyBorder="1" applyAlignment="1">
      <alignment horizontal="left" vertical="top" wrapText="1"/>
    </xf>
    <xf numFmtId="0" fontId="1" fillId="0" borderId="53" xfId="0" applyFont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0" fontId="17" fillId="0" borderId="64" xfId="0" applyFont="1" applyBorder="1" applyAlignment="1">
      <alignment horizontal="left" vertical="top"/>
    </xf>
    <xf numFmtId="0" fontId="17" fillId="0" borderId="66" xfId="0" applyFont="1" applyBorder="1" applyAlignment="1">
      <alignment horizontal="left" vertical="top"/>
    </xf>
    <xf numFmtId="0" fontId="17" fillId="0" borderId="65" xfId="0" applyFont="1" applyBorder="1" applyAlignment="1">
      <alignment horizontal="left" vertical="top"/>
    </xf>
    <xf numFmtId="0" fontId="17" fillId="0" borderId="53" xfId="0" applyFont="1" applyBorder="1" applyAlignment="1">
      <alignment horizontal="left" vertical="top" wrapText="1"/>
    </xf>
    <xf numFmtId="0" fontId="17" fillId="0" borderId="23" xfId="0" applyFont="1" applyBorder="1" applyAlignment="1">
      <alignment horizontal="left" vertical="top"/>
    </xf>
  </cellXfs>
  <cellStyles count="2">
    <cellStyle name="Normal 2" xfId="1" xr:uid="{00000000-0005-0000-0000-000000000000}"/>
    <cellStyle name="Standaard" xfId="0" builtinId="0"/>
  </cellStyles>
  <dxfs count="21"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6/relationships/vbaProject" Target="vbaProject.bin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23</xdr:row>
      <xdr:rowOff>76200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19900" cy="445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28575</xdr:rowOff>
    </xdr:from>
    <xdr:to>
      <xdr:col>1</xdr:col>
      <xdr:colOff>19050</xdr:colOff>
      <xdr:row>59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975"/>
          <a:ext cx="6953250" cy="874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28575</xdr:rowOff>
    </xdr:from>
    <xdr:to>
      <xdr:col>0</xdr:col>
      <xdr:colOff>7058025</xdr:colOff>
      <xdr:row>58</xdr:row>
      <xdr:rowOff>9525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1450"/>
          <a:ext cx="6915150" cy="855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123825</xdr:rowOff>
    </xdr:from>
    <xdr:to>
      <xdr:col>0</xdr:col>
      <xdr:colOff>7143750</xdr:colOff>
      <xdr:row>37</xdr:row>
      <xdr:rowOff>133350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3825"/>
          <a:ext cx="7048500" cy="750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4</xdr:row>
      <xdr:rowOff>0</xdr:rowOff>
    </xdr:from>
    <xdr:to>
      <xdr:col>30</xdr:col>
      <xdr:colOff>219636</xdr:colOff>
      <xdr:row>35</xdr:row>
      <xdr:rowOff>103769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B8ED56BA-6D31-41E6-8DE7-B139A014F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23912" y="974912"/>
          <a:ext cx="7772400" cy="46197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1</xdr:row>
      <xdr:rowOff>9525</xdr:rowOff>
    </xdr:from>
    <xdr:to>
      <xdr:col>17</xdr:col>
      <xdr:colOff>133350</xdr:colOff>
      <xdr:row>4</xdr:row>
      <xdr:rowOff>178858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955B318-AAC7-4A7B-AECD-32146C22B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950" y="209550"/>
          <a:ext cx="6000750" cy="7408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6"/>
  <dimension ref="A1"/>
  <sheetViews>
    <sheetView tabSelected="1" zoomScaleNormal="100" workbookViewId="0">
      <selection activeCell="P27" sqref="P27"/>
    </sheetView>
  </sheetViews>
  <sheetFormatPr defaultRowHeight="15" x14ac:dyDescent="0.25"/>
  <cols>
    <col min="1" max="16384" width="9.140625" style="4"/>
  </cols>
  <sheetData/>
  <sheetProtection algorithmName="SHA-512" hashValue="SqLFi4b/f85K/mc7Az0cAe5lsbkVKWAtvVroLp1uSJoAyBf4UGAsLQ4fY3bJve5by6WpZwD4X1GMl/0eLijyIg==" saltValue="+wI84wVdoTBjtwEi/W7Qgg==" spinCount="100000" sheet="1" objects="1" scenarios="1"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1"/>
  <dimension ref="A1:BM194"/>
  <sheetViews>
    <sheetView zoomScaleNormal="100" workbookViewId="0">
      <selection activeCell="D2" sqref="D2"/>
    </sheetView>
  </sheetViews>
  <sheetFormatPr defaultColWidth="8.85546875" defaultRowHeight="11.25" x14ac:dyDescent="0.2"/>
  <cols>
    <col min="1" max="1" width="105.85546875" style="63" customWidth="1"/>
    <col min="2" max="2" width="2" style="99" customWidth="1"/>
    <col min="3" max="3" width="30.85546875" style="63" customWidth="1"/>
    <col min="4" max="4" width="33.42578125" style="63" customWidth="1"/>
    <col min="5" max="5" width="22.85546875" style="63" customWidth="1"/>
    <col min="6" max="6" width="2" style="99" customWidth="1"/>
    <col min="7" max="7" width="39.28515625" style="63" customWidth="1"/>
    <col min="8" max="8" width="8.85546875" style="63" customWidth="1"/>
    <col min="9" max="9" width="14" style="63" customWidth="1"/>
    <col min="10" max="10" width="2" style="99" customWidth="1"/>
    <col min="11" max="11" width="25.42578125" style="63" customWidth="1"/>
    <col min="12" max="15" width="13.140625" style="63" customWidth="1"/>
    <col min="16" max="16" width="2" style="99" customWidth="1"/>
    <col min="17" max="17" width="26.85546875" style="63" customWidth="1"/>
    <col min="18" max="19" width="8.85546875" style="63"/>
    <col min="20" max="23" width="13.140625" style="63" customWidth="1"/>
    <col min="24" max="24" width="2" style="99" customWidth="1"/>
    <col min="25" max="25" width="25.140625" style="63" customWidth="1"/>
    <col min="26" max="27" width="8.85546875" style="63"/>
    <col min="28" max="31" width="13.140625" style="63" customWidth="1"/>
    <col min="32" max="58" width="9.140625" style="99"/>
    <col min="59" max="16384" width="8.85546875" style="63"/>
  </cols>
  <sheetData>
    <row r="1" spans="1:31" ht="12" thickBot="1" x14ac:dyDescent="0.25">
      <c r="A1" s="99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</row>
    <row r="2" spans="1:31" x14ac:dyDescent="0.2">
      <c r="A2" s="99"/>
      <c r="B2" s="98"/>
      <c r="C2" s="100" t="s">
        <v>0</v>
      </c>
      <c r="D2" s="101" t="s">
        <v>187</v>
      </c>
      <c r="E2" s="100"/>
      <c r="F2" s="98"/>
      <c r="G2" s="100" t="s">
        <v>1</v>
      </c>
      <c r="H2" s="100"/>
      <c r="I2" s="100"/>
      <c r="J2" s="98"/>
      <c r="K2" s="200" t="s">
        <v>2</v>
      </c>
      <c r="L2" s="201"/>
      <c r="M2" s="201"/>
      <c r="N2" s="201"/>
      <c r="O2" s="202"/>
      <c r="P2" s="98"/>
      <c r="Q2" s="200" t="s">
        <v>3</v>
      </c>
      <c r="R2" s="201"/>
      <c r="S2" s="201"/>
      <c r="T2" s="201"/>
      <c r="U2" s="201"/>
      <c r="V2" s="201"/>
      <c r="W2" s="202"/>
      <c r="X2" s="98"/>
      <c r="Y2" s="200" t="s">
        <v>4</v>
      </c>
      <c r="Z2" s="201"/>
      <c r="AA2" s="201"/>
      <c r="AB2" s="201"/>
      <c r="AC2" s="201"/>
      <c r="AD2" s="201"/>
      <c r="AE2" s="202"/>
    </row>
    <row r="3" spans="1:31" ht="12" thickBot="1" x14ac:dyDescent="0.25">
      <c r="A3" s="99"/>
      <c r="B3" s="98"/>
      <c r="C3" s="100" t="s">
        <v>5</v>
      </c>
      <c r="D3" s="101" t="s">
        <v>197</v>
      </c>
      <c r="E3" s="100"/>
      <c r="F3" s="98"/>
      <c r="G3" s="100" t="s">
        <v>0</v>
      </c>
      <c r="H3" s="102">
        <f>IF($D$45="tijd",IF(OR(ISNUMBER($D$47)=FALSE,$D$20&lt;$D$47),D24*EXP(-(D26+$D$46)*$D$20),IF(OR(ISNUMBER($D$49),$D$20&lt;$D$49),D24*EXP(-($D$46-$D$48)*$D$47)*EXP(-(D26+$D$48)*$D$20),D24*EXP(-($D$46-$D$48)*$D$47)*EXP(-($D$48-$D$50)*$D$49)*EXP(-(D26+$D$50)*$D$20))),IF(ISNUMBER($D$51)=TRUE,D24*($D$47*EXP(-($D$46+D26)*$D$20)+$D$49*EXP(-($D$48+D26)*$D$20)+$D$51*EXP(-($D$50+D26)*$D$20)),IF(ISNUMBER(D49)=TRUE,D24*($D$47*EXP(-($D$46+D26)*$D$20)+$D$49*EXP(-($D$48+D26)*$D$20)),D24*($D$47*EXP(-($D$46+D26)*$D$20)))))</f>
        <v>0.4</v>
      </c>
      <c r="I3" s="100" t="s">
        <v>7</v>
      </c>
      <c r="J3" s="98"/>
      <c r="K3" s="103" t="s">
        <v>8</v>
      </c>
      <c r="L3" s="104" t="s">
        <v>9</v>
      </c>
      <c r="M3" s="105" t="s">
        <v>194</v>
      </c>
      <c r="N3" s="104" t="s">
        <v>195</v>
      </c>
      <c r="O3" s="106" t="s">
        <v>10</v>
      </c>
      <c r="P3" s="98"/>
      <c r="Q3" s="107" t="s">
        <v>8</v>
      </c>
      <c r="R3" s="108" t="s">
        <v>11</v>
      </c>
      <c r="S3" s="109" t="s">
        <v>12</v>
      </c>
      <c r="T3" s="110" t="s">
        <v>9</v>
      </c>
      <c r="U3" s="105" t="s">
        <v>194</v>
      </c>
      <c r="V3" s="104" t="s">
        <v>195</v>
      </c>
      <c r="W3" s="111" t="s">
        <v>10</v>
      </c>
      <c r="X3" s="98"/>
      <c r="Y3" s="107" t="s">
        <v>8</v>
      </c>
      <c r="Z3" s="108" t="s">
        <v>11</v>
      </c>
      <c r="AA3" s="109" t="s">
        <v>12</v>
      </c>
      <c r="AB3" s="110" t="s">
        <v>9</v>
      </c>
      <c r="AC3" s="105" t="s">
        <v>194</v>
      </c>
      <c r="AD3" s="104" t="s">
        <v>195</v>
      </c>
      <c r="AE3" s="111" t="s">
        <v>10</v>
      </c>
    </row>
    <row r="4" spans="1:31" ht="13.5" thickTop="1" x14ac:dyDescent="0.2">
      <c r="A4" s="99"/>
      <c r="B4" s="98"/>
      <c r="C4" s="100" t="s">
        <v>13</v>
      </c>
      <c r="D4" s="101">
        <v>20</v>
      </c>
      <c r="E4" s="100" t="s">
        <v>166</v>
      </c>
      <c r="F4" s="98"/>
      <c r="G4" s="100" t="str">
        <f>IF($D$11="Geen verontreiniging","","Verontreiniging #1")</f>
        <v/>
      </c>
      <c r="H4" s="112">
        <f>IF(D31="Geen verontreiniging",0,IF($D$45="tijd",IF(OR(ISNUMBER($D$47)=FALSE,$D$20&lt;$D$47),D32*EXP(-(D33+$D$46)*$D$20),IF(OR(ISNUMBER($D$49),$D$20&lt;$D$49),D32*EXP(-($D$46-$D$48)*$D$47)*EXP(-(D33+$D$48)*$D$20),D32*EXP(-($D$46-$D$48)*$D$47)*EXP(-($D$48-$D$50)*$D$49)*EXP(-(D33+$D$50)*$D$20))),IF(ISNUMBER($D$51)=TRUE,D32*($D$47*EXP(-($D$46+D33)*$D$20)+$D$49*EXP(-($D$48+D33)*$D$20)+$D$51*EXP(-($D$50+D33)*$D$20)),IF(ISNUMBER(D49),D32*($D$47*EXP(-($D$46+D33)*$D$20)+$D$49*EXP(-($D$48+D33)*$D$20)),D32*($D$47*EXP(-($D$46+D33)*$D$20))))))</f>
        <v>0</v>
      </c>
      <c r="I4" s="100" t="str">
        <f>IF($D$11="Geen verontreiniging","","GBq")</f>
        <v/>
      </c>
      <c r="J4" s="98"/>
      <c r="K4" s="113" t="str">
        <f>Scenario!$A3</f>
        <v>Betaald werk</v>
      </c>
      <c r="L4" s="114">
        <f>T4+AB4</f>
        <v>0</v>
      </c>
      <c r="M4" s="115">
        <f t="shared" ref="M4:O4" si="0">U4+AC4</f>
        <v>0</v>
      </c>
      <c r="N4" s="115">
        <f t="shared" si="0"/>
        <v>0</v>
      </c>
      <c r="O4" s="116">
        <f t="shared" si="0"/>
        <v>31.784240495248262</v>
      </c>
      <c r="P4" s="98"/>
      <c r="Q4" s="113" t="str">
        <f>Scenario!$A3</f>
        <v>Betaald werk</v>
      </c>
      <c r="R4" s="117">
        <f>Scenario!$D3</f>
        <v>0</v>
      </c>
      <c r="S4" s="118">
        <f>Scenario!$F3</f>
        <v>2</v>
      </c>
      <c r="T4" s="114">
        <f>IF(Scenario!K3="nee",0,($H$10*$D$29*$D$27+$H$11*$D$36*$D$34+$H$12*$D$43*$D$41)*($R4/168)*(1/($S4*$S4))*$D$25)</f>
        <v>0</v>
      </c>
      <c r="U4" s="115">
        <f>IF(Scenario!L3="nee",0,($H$10*$D$29*$D$27+$H$11*$D$36*$D$34+$H$12*$D$43*$D$41)*($R4/168)*(1/($S4*$S4))*$D$25)</f>
        <v>0</v>
      </c>
      <c r="V4" s="115">
        <f>IF(Scenario!M3="nee",0,($H$10*$D$29*$D$27+$H$11*$D$36*$D$34+$H$12*$D$43*$D$41)*($R4/168)*(1/($S4*$S4))*$D$25)</f>
        <v>0</v>
      </c>
      <c r="W4" s="116">
        <f>IF(Scenario!N3="nee",0,($H$10*$D$29*$D$27+$H$11*$D$36*$D$34+$H$12*$D$43*$D$41)*($R4/168)*(1/($S4*$S4))*$D$25)</f>
        <v>0</v>
      </c>
      <c r="X4" s="98"/>
      <c r="Y4" s="113" t="str">
        <f>Scenario!$A3</f>
        <v>Betaald werk</v>
      </c>
      <c r="Z4" s="117">
        <f>Scenario!$C3</f>
        <v>28.7</v>
      </c>
      <c r="AA4" s="118">
        <f>Scenario!$E3</f>
        <v>2</v>
      </c>
      <c r="AB4" s="114">
        <f>IF(Scenario!G3="nee",0,($H$15*$D$29*$D$27+$H$16*$D$36*$D$34+$H$17*$D$43*$D$41)*($Z4/168)*(1/($AA4*$AA4))*$D$25)</f>
        <v>0</v>
      </c>
      <c r="AC4" s="115">
        <f>IF(Scenario!H3="nee",0,($H$15*$D$29*$D$27+$H$16*$D$36*$D$34+$H$17*$D$43*$D$41)*($Z4/168)*(1/($AA4*$AA4))*$D$25)</f>
        <v>0</v>
      </c>
      <c r="AD4" s="115">
        <f>IF(Scenario!I3="nee",0,($H$15*$D$29*$D$27+$H$16*$D$36*$D$34+$H$17*$D$43*$D$41)*($Z4/168)*(1/($AA4*$AA4))*$D$25)</f>
        <v>0</v>
      </c>
      <c r="AE4" s="116">
        <f>IF(Scenario!J3="nee",0,($H$15*$D$29*$D$27+$H$16*$D$36*$D$34+$H$17*$D$43*$D$41)*($Z4/168)*(1/($AA4*$AA4))*$D$25)</f>
        <v>31.784240495248262</v>
      </c>
    </row>
    <row r="5" spans="1:31" x14ac:dyDescent="0.2">
      <c r="A5" s="99"/>
      <c r="B5" s="98"/>
      <c r="C5" s="100" t="s">
        <v>6</v>
      </c>
      <c r="D5" s="119">
        <v>49.671568821070743</v>
      </c>
      <c r="E5" s="100" t="s">
        <v>15</v>
      </c>
      <c r="F5" s="98"/>
      <c r="G5" s="100" t="str">
        <f>IF($D$13="Geen verontreiniging","","Verontreiniging #2")</f>
        <v/>
      </c>
      <c r="H5" s="112">
        <f>IF(D38="Geen verontreiniging",0,IF($D$45="tijd",IF(OR(ISNUMBER($D$47)=FALSE,$D$20&lt;$D$47),D39*EXP(-(D40+$D$46)*$D$20),IF(OR(ISNUMBER($D$49),$D$20&lt;$D$49),D39*EXP(-($D$46-$D$48)*$D$47)*EXP(-(D40+$D$48)*$D$20),D39*EXP(-($D$46-$D$48)*$D$47)*EXP(-($D$48-$D$50)*$D$49)*EXP(-(D40+$D$50)*$D$20))),IF(ISNUMBER($D$51)=TRUE,D39*($D$47*EXP(-($D$46+D40)*$D$20)+$D$49*EXP(-($D$48+D40)*$D$20)+$D$51*EXP(-($D$50+D40)*$D$20)),IF(ISNUMBER(D49)=TRUE,D39*($D$47*EXP(-($D$46+D40)*$D$20)+$D$49*EXP(-($D$48+D40)*$D$20)),D39*($D$47*EXP(-($D$46+D40)*$D$20))))))</f>
        <v>0</v>
      </c>
      <c r="I5" s="100" t="str">
        <f>IF($D$13="Geen verontreiniging","","GBq")</f>
        <v/>
      </c>
      <c r="J5" s="98"/>
      <c r="K5" s="120" t="str">
        <f>Scenario!$A4</f>
        <v>Scholing</v>
      </c>
      <c r="L5" s="121">
        <f t="shared" ref="L5:L25" si="1">T5+AB5</f>
        <v>0</v>
      </c>
      <c r="M5" s="122">
        <f t="shared" ref="M5:M25" si="2">U5+AC5</f>
        <v>0</v>
      </c>
      <c r="N5" s="122">
        <f t="shared" ref="N5:N25" si="3">V5+AD5</f>
        <v>0</v>
      </c>
      <c r="O5" s="123">
        <f t="shared" ref="O5:O25" si="4">W5+AE5</f>
        <v>12.186087277956961</v>
      </c>
      <c r="P5" s="98"/>
      <c r="Q5" s="124" t="str">
        <f>Scenario!$A4</f>
        <v>Scholing</v>
      </c>
      <c r="R5" s="125">
        <f>Scenario!$D4</f>
        <v>0.9</v>
      </c>
      <c r="S5" s="129">
        <f>Scenario!$F4</f>
        <v>1</v>
      </c>
      <c r="T5" s="121">
        <f>IF(Scenario!K4="nee",0,($H$10*$D$29*$D$27+$H$11*$D$36*$D$34+$H$12*$D$43*$D$41)*($R5/168)*(1/($S5*$S5))*$D$25)</f>
        <v>0</v>
      </c>
      <c r="U5" s="122">
        <f>IF(Scenario!L4="nee",0,($H$10*$D$29*$D$27+$H$11*$D$36*$D$34+$H$12*$D$43*$D$41)*($R5/168)*(1/($S5*$S5))*$D$25)</f>
        <v>0</v>
      </c>
      <c r="V5" s="122">
        <f>IF(Scenario!M4="nee",0,($H$10*$D$29*$D$27+$H$11*$D$36*$D$34+$H$12*$D$43*$D$41)*($R5/168)*(1/($S5*$S5))*$D$25)</f>
        <v>0</v>
      </c>
      <c r="W5" s="123">
        <f>IF(Scenario!N4="nee",0,($H$10*$D$29*$D$27+$H$11*$D$36*$D$34+$H$12*$D$43*$D$41)*($R5/168)*(1/($S5*$S5))*$D$25)</f>
        <v>8.1992139057306979</v>
      </c>
      <c r="X5" s="98"/>
      <c r="Y5" s="124" t="str">
        <f>Scenario!$A4</f>
        <v>Scholing</v>
      </c>
      <c r="Z5" s="125">
        <f>Scenario!$C4</f>
        <v>0.9</v>
      </c>
      <c r="AA5" s="129">
        <f>Scenario!$E4</f>
        <v>1</v>
      </c>
      <c r="AB5" s="121">
        <f>IF(Scenario!G4="nee",0,($H$15*$D$29*$D$27+$H$16*$D$36*$D$34+$H$17*$D$43*$D$41)*($Z5/168)*(1/($AA5*$AA5))*$D$25)</f>
        <v>0</v>
      </c>
      <c r="AC5" s="122">
        <f>IF(Scenario!H4="nee",0,($H$15*$D$29*$D$27+$H$16*$D$36*$D$34+$H$17*$D$43*$D$41)*($Z5/168)*(1/($AA5*$AA5))*$D$25)</f>
        <v>0</v>
      </c>
      <c r="AD5" s="122">
        <f>IF(Scenario!I4="nee",0,($H$15*$D$29*$D$27+$H$16*$D$36*$D$34+$H$17*$D$43*$D$41)*($Z5/168)*(1/($AA5*$AA5))*$D$25)</f>
        <v>0</v>
      </c>
      <c r="AE5" s="123">
        <f>IF(Scenario!J4="nee",0,($H$15*$D$29*$D$27+$H$16*$D$36*$D$34+$H$17*$D$43*$D$41)*($Z5/168)*(1/($AA5*$AA5))*$D$25)</f>
        <v>3.9868733722262628</v>
      </c>
    </row>
    <row r="6" spans="1:31" x14ac:dyDescent="0.2">
      <c r="A6" s="99"/>
      <c r="B6" s="98"/>
      <c r="C6" s="100" t="s">
        <v>17</v>
      </c>
      <c r="D6" s="101">
        <v>21</v>
      </c>
      <c r="E6" s="100" t="s">
        <v>18</v>
      </c>
      <c r="F6" s="98"/>
      <c r="G6" s="98"/>
      <c r="H6" s="98"/>
      <c r="I6" s="98"/>
      <c r="J6" s="98"/>
      <c r="K6" s="120" t="str">
        <f>Scenario!$A5</f>
        <v>Zorg voor het huishouden</v>
      </c>
      <c r="L6" s="121">
        <f t="shared" si="1"/>
        <v>0</v>
      </c>
      <c r="M6" s="122">
        <f t="shared" si="2"/>
        <v>0</v>
      </c>
      <c r="N6" s="122">
        <f t="shared" si="3"/>
        <v>0</v>
      </c>
      <c r="O6" s="123">
        <f t="shared" si="4"/>
        <v>0</v>
      </c>
      <c r="P6" s="98"/>
      <c r="Q6" s="124" t="str">
        <f>Scenario!$A5</f>
        <v>Zorg voor het huishouden</v>
      </c>
      <c r="R6" s="125">
        <f>Scenario!$D5</f>
        <v>21</v>
      </c>
      <c r="S6" s="126">
        <f>Scenario!$F5</f>
        <v>0</v>
      </c>
      <c r="T6" s="121">
        <f>IF(Scenario!K5="nee",0,($H$10*$D$29*$D$27+$H$11*$D$36*$D$34+$H$12*$D$43*$D$41)*($R6/168)*(1/($S6*$S6))*$D$25)</f>
        <v>0</v>
      </c>
      <c r="U6" s="122">
        <f>IF(Scenario!L5="nee",0,($H$10*$D$29*$D$27+$H$11*$D$36*$D$34+$H$12*$D$43*$D$41)*($R6/168)*(1/($S6*$S6))*$D$25)</f>
        <v>0</v>
      </c>
      <c r="V6" s="122">
        <f>IF(Scenario!M5="nee",0,($H$10*$D$29*$D$27+$H$11*$D$36*$D$34+$H$12*$D$43*$D$41)*($R6/168)*(1/($S6*$S6))*$D$25)</f>
        <v>0</v>
      </c>
      <c r="W6" s="123">
        <f>IF(Scenario!N5="nee",0,($H$10*$D$29*$D$27+$H$11*$D$36*$D$34+$H$12*$D$43*$D$41)*($R6/168)*(1/($S6*$S6))*$D$25)</f>
        <v>0</v>
      </c>
      <c r="X6" s="98"/>
      <c r="Y6" s="124" t="str">
        <f>Scenario!$A5</f>
        <v>Zorg voor het huishouden</v>
      </c>
      <c r="Z6" s="125">
        <f>Scenario!$C5</f>
        <v>21</v>
      </c>
      <c r="AA6" s="126">
        <f>Scenario!$E5</f>
        <v>0</v>
      </c>
      <c r="AB6" s="121">
        <f>IF(Scenario!G5="nee",0,($H$15*$D$29*$D$27+$H$16*$D$36*$D$34+$H$17*$D$43*$D$41)*($Z6/168)*(1/($AA6*$AA6))*$D$25)</f>
        <v>0</v>
      </c>
      <c r="AC6" s="122">
        <f>IF(Scenario!H5="nee",0,($H$15*$D$29*$D$27+$H$16*$D$36*$D$34+$H$17*$D$43*$D$41)*($Z6/168)*(1/($AA6*$AA6))*$D$25)</f>
        <v>0</v>
      </c>
      <c r="AD6" s="122">
        <f>IF(Scenario!I5="nee",0,($H$15*$D$29*$D$27+$H$16*$D$36*$D$34+$H$17*$D$43*$D$41)*($Z6/168)*(1/($AA6*$AA6))*$D$25)</f>
        <v>0</v>
      </c>
      <c r="AE6" s="123">
        <f>IF(Scenario!J5="nee",0,($H$15*$D$29*$D$27+$H$16*$D$36*$D$34+$H$17*$D$43*$D$41)*($Z6/168)*(1/($AA6*$AA6))*$D$25)</f>
        <v>0</v>
      </c>
    </row>
    <row r="7" spans="1:31" ht="12.75" x14ac:dyDescent="0.2">
      <c r="A7" s="99"/>
      <c r="B7" s="98"/>
      <c r="C7" s="100" t="s">
        <v>19</v>
      </c>
      <c r="D7" s="101">
        <v>7</v>
      </c>
      <c r="E7" s="100" t="s">
        <v>18</v>
      </c>
      <c r="F7" s="98"/>
      <c r="G7" s="100" t="s">
        <v>20</v>
      </c>
      <c r="H7" s="127">
        <f>IF(D31="Geen verontreiniging",IF(D38="Geen verontreiniging",H3*D27*D29,H3*D27*D29+H5*D41*D43),IF(D38="Geen verontreiniging",H3*D27*D29+H4*D34*D36,H3*D27*D29+H4*D34*D36+H5*D41*D43))</f>
        <v>26.8</v>
      </c>
      <c r="I7" s="100" t="s">
        <v>167</v>
      </c>
      <c r="J7" s="98"/>
      <c r="K7" s="120" t="str">
        <f>Scenario!$A6</f>
        <v>Kinderen naar bed brengen</v>
      </c>
      <c r="L7" s="121">
        <f t="shared" si="1"/>
        <v>12.45897928820707</v>
      </c>
      <c r="M7" s="122">
        <f t="shared" si="2"/>
        <v>0</v>
      </c>
      <c r="N7" s="122">
        <f t="shared" si="3"/>
        <v>0</v>
      </c>
      <c r="O7" s="123">
        <f t="shared" si="4"/>
        <v>0</v>
      </c>
      <c r="P7" s="98"/>
      <c r="Q7" s="124" t="str">
        <f>Scenario!$A6</f>
        <v>Kinderen naar bed brengen</v>
      </c>
      <c r="R7" s="125">
        <f>Scenario!$D6</f>
        <v>0</v>
      </c>
      <c r="S7" s="128">
        <f>Scenario!$F6</f>
        <v>0.8</v>
      </c>
      <c r="T7" s="121">
        <f>IF(Scenario!K6="nee",0,($H$10*$D$29*$D$27+$H$11*$D$36*$D$34+$H$12*$D$43*$D$41)*($R7/168)*(1/($S7*$S7))*$D$25)</f>
        <v>0</v>
      </c>
      <c r="U7" s="122">
        <f>IF(Scenario!L6="nee",0,($H$10*$D$29*$D$27+$H$11*$D$36*$D$34+$H$12*$D$43*$D$41)*($R7/168)*(1/($S7*$S7))*$D$25)</f>
        <v>0</v>
      </c>
      <c r="V7" s="122">
        <f>IF(Scenario!M6="nee",0,($H$10*$D$29*$D$27+$H$11*$D$36*$D$34+$H$12*$D$43*$D$41)*($R7/168)*(1/($S7*$S7))*$D$25)</f>
        <v>0</v>
      </c>
      <c r="W7" s="123">
        <f>IF(Scenario!N6="nee",0,($H$10*$D$29*$D$27+$H$11*$D$36*$D$34+$H$12*$D$43*$D$41)*($R7/168)*(1/($S7*$S7))*$D$25)</f>
        <v>0</v>
      </c>
      <c r="X7" s="98"/>
      <c r="Y7" s="124" t="str">
        <f>Scenario!$A6</f>
        <v>Kinderen naar bed brengen</v>
      </c>
      <c r="Z7" s="125">
        <f>Scenario!$C6</f>
        <v>1.8</v>
      </c>
      <c r="AA7" s="128">
        <f>Scenario!$E6</f>
        <v>0.8</v>
      </c>
      <c r="AB7" s="121">
        <f>IF(Scenario!G6="nee",0,($H$15*$D$29*$D$27+$H$16*$D$36*$D$34+$H$17*$D$43*$D$41)*($Z7/168)*(1/($AA7*$AA7))*$D$25)</f>
        <v>12.45897928820707</v>
      </c>
      <c r="AC7" s="122">
        <f>IF(Scenario!H6="nee",0,($H$15*$D$29*$D$27+$H$16*$D$36*$D$34+$H$17*$D$43*$D$41)*($Z7/168)*(1/($AA7*$AA7))*$D$25)</f>
        <v>0</v>
      </c>
      <c r="AD7" s="122">
        <f>IF(Scenario!I6="nee",0,($H$15*$D$29*$D$27+$H$16*$D$36*$D$34+$H$17*$D$43*$D$41)*($Z7/168)*(1/($AA7*$AA7))*$D$25)</f>
        <v>0</v>
      </c>
      <c r="AE7" s="123">
        <f>IF(Scenario!J6="nee",0,($H$15*$D$29*$D$27+$H$16*$D$36*$D$34+$H$17*$D$43*$D$41)*($Z7/168)*(1/($AA7*$AA7))*$D$25)</f>
        <v>0</v>
      </c>
    </row>
    <row r="8" spans="1:31" x14ac:dyDescent="0.2">
      <c r="A8" s="99"/>
      <c r="B8" s="98"/>
      <c r="C8" s="100" t="s">
        <v>21</v>
      </c>
      <c r="D8" s="101">
        <v>30</v>
      </c>
      <c r="E8" s="100" t="s">
        <v>22</v>
      </c>
      <c r="F8" s="98"/>
      <c r="G8" s="98"/>
      <c r="H8" s="98"/>
      <c r="I8" s="98"/>
      <c r="J8" s="98"/>
      <c r="K8" s="120" t="str">
        <f>Scenario!$A7</f>
        <v>Kinderen fysieke verzorging</v>
      </c>
      <c r="L8" s="121">
        <f t="shared" si="1"/>
        <v>17.996303416299099</v>
      </c>
      <c r="M8" s="122">
        <f t="shared" si="2"/>
        <v>0</v>
      </c>
      <c r="N8" s="122">
        <f t="shared" si="3"/>
        <v>0</v>
      </c>
      <c r="O8" s="123">
        <f t="shared" si="4"/>
        <v>0</v>
      </c>
      <c r="P8" s="98"/>
      <c r="Q8" s="124" t="str">
        <f>Scenario!$A7</f>
        <v>Kinderen fysieke verzorging</v>
      </c>
      <c r="R8" s="125">
        <f>Scenario!$D7</f>
        <v>0</v>
      </c>
      <c r="S8" s="129">
        <f>Scenario!$F7</f>
        <v>0.8</v>
      </c>
      <c r="T8" s="121">
        <f>IF(Scenario!K7="nee",0,($H$10*$D$29*$D$27+$H$11*$D$36*$D$34+$H$12*$D$43*$D$41)*($R8/168)*(1/($S8*$S8))*$D$25)</f>
        <v>0</v>
      </c>
      <c r="U8" s="122">
        <f>IF(Scenario!L7="nee",0,($H$10*$D$29*$D$27+$H$11*$D$36*$D$34+$H$12*$D$43*$D$41)*($R8/168)*(1/($S8*$S8))*$D$25)</f>
        <v>0</v>
      </c>
      <c r="V8" s="122">
        <f>IF(Scenario!M7="nee",0,($H$10*$D$29*$D$27+$H$11*$D$36*$D$34+$H$12*$D$43*$D$41)*($R8/168)*(1/($S8*$S8))*$D$25)</f>
        <v>0</v>
      </c>
      <c r="W8" s="123">
        <f>IF(Scenario!N7="nee",0,($H$10*$D$29*$D$27+$H$11*$D$36*$D$34+$H$12*$D$43*$D$41)*($R8/168)*(1/($S8*$S8))*$D$25)</f>
        <v>0</v>
      </c>
      <c r="X8" s="98"/>
      <c r="Y8" s="124" t="str">
        <f>Scenario!$A7</f>
        <v>Kinderen fysieke verzorging</v>
      </c>
      <c r="Z8" s="125">
        <f>Scenario!$C7</f>
        <v>2.6</v>
      </c>
      <c r="AA8" s="129">
        <f>Scenario!$E7</f>
        <v>0.8</v>
      </c>
      <c r="AB8" s="121">
        <f>IF(Scenario!G7="nee",0,($H$15*$D$29*$D$27+$H$16*$D$36*$D$34+$H$17*$D$43*$D$41)*($Z8/168)*(1/($AA8*$AA8))*$D$25)</f>
        <v>17.996303416299099</v>
      </c>
      <c r="AC8" s="122">
        <f>IF(Scenario!H7="nee",0,($H$15*$D$29*$D$27+$H$16*$D$36*$D$34+$H$17*$D$43*$D$41)*($Z8/168)*(1/($AA8*$AA8))*$D$25)</f>
        <v>0</v>
      </c>
      <c r="AD8" s="122">
        <f>IF(Scenario!I7="nee",0,($H$15*$D$29*$D$27+$H$16*$D$36*$D$34+$H$17*$D$43*$D$41)*($Z8/168)*(1/($AA8*$AA8))*$D$25)</f>
        <v>0</v>
      </c>
      <c r="AE8" s="123">
        <f>IF(Scenario!J7="nee",0,($H$15*$D$29*$D$27+$H$16*$D$36*$D$34+$H$17*$D$43*$D$41)*($Z8/168)*(1/($AA8*$AA8))*$D$25)</f>
        <v>0</v>
      </c>
    </row>
    <row r="9" spans="1:31" x14ac:dyDescent="0.2">
      <c r="A9" s="99"/>
      <c r="B9" s="98"/>
      <c r="C9" s="100" t="s">
        <v>23</v>
      </c>
      <c r="D9" s="101"/>
      <c r="E9" s="100" t="s">
        <v>7</v>
      </c>
      <c r="F9" s="98"/>
      <c r="G9" s="100" t="s">
        <v>24</v>
      </c>
      <c r="H9" s="100"/>
      <c r="I9" s="100"/>
      <c r="J9" s="98"/>
      <c r="K9" s="120" t="str">
        <f>Scenario!$A8</f>
        <v>Kinderen hulp met school</v>
      </c>
      <c r="L9" s="121">
        <f t="shared" si="1"/>
        <v>1.3843310320230078</v>
      </c>
      <c r="M9" s="122">
        <f t="shared" si="2"/>
        <v>0</v>
      </c>
      <c r="N9" s="122">
        <f t="shared" si="3"/>
        <v>0</v>
      </c>
      <c r="O9" s="123">
        <f t="shared" si="4"/>
        <v>0</v>
      </c>
      <c r="P9" s="98"/>
      <c r="Q9" s="124" t="str">
        <f>Scenario!$A8</f>
        <v>Kinderen hulp met school</v>
      </c>
      <c r="R9" s="125">
        <f>Scenario!$D8</f>
        <v>0</v>
      </c>
      <c r="S9" s="129">
        <f>Scenario!$F8</f>
        <v>0.8</v>
      </c>
      <c r="T9" s="121">
        <f>IF(Scenario!K8="nee",0,($H$10*$D$29*$D$27+$H$11*$D$36*$D$34+$H$12*$D$43*$D$41)*($R9/168)*(1/($S9*$S9))*$D$25)</f>
        <v>0</v>
      </c>
      <c r="U9" s="122">
        <f>IF(Scenario!L8="nee",0,($H$10*$D$29*$D$27+$H$11*$D$36*$D$34+$H$12*$D$43*$D$41)*($R9/168)*(1/($S9*$S9))*$D$25)</f>
        <v>0</v>
      </c>
      <c r="V9" s="122">
        <f>IF(Scenario!M8="nee",0,($H$10*$D$29*$D$27+$H$11*$D$36*$D$34+$H$12*$D$43*$D$41)*($R9/168)*(1/($S9*$S9))*$D$25)</f>
        <v>0</v>
      </c>
      <c r="W9" s="123">
        <f>IF(Scenario!N8="nee",0,($H$10*$D$29*$D$27+$H$11*$D$36*$D$34+$H$12*$D$43*$D$41)*($R9/168)*(1/($S9*$S9))*$D$25)</f>
        <v>0</v>
      </c>
      <c r="X9" s="98"/>
      <c r="Y9" s="124" t="str">
        <f>Scenario!$A8</f>
        <v>Kinderen hulp met school</v>
      </c>
      <c r="Z9" s="125">
        <f>Scenario!$C8</f>
        <v>0.2</v>
      </c>
      <c r="AA9" s="129">
        <f>Scenario!$E8</f>
        <v>0.8</v>
      </c>
      <c r="AB9" s="121">
        <f>IF(Scenario!G8="nee",0,($H$15*$D$29*$D$27+$H$16*$D$36*$D$34+$H$17*$D$43*$D$41)*($Z9/168)*(1/($AA9*$AA9))*$D$25)</f>
        <v>1.3843310320230078</v>
      </c>
      <c r="AC9" s="122">
        <f>IF(Scenario!H8="nee",0,($H$15*$D$29*$D$27+$H$16*$D$36*$D$34+$H$17*$D$43*$D$41)*($Z9/168)*(1/($AA9*$AA9))*$D$25)</f>
        <v>0</v>
      </c>
      <c r="AD9" s="122">
        <f>IF(Scenario!I8="nee",0,($H$15*$D$29*$D$27+$H$16*$D$36*$D$34+$H$17*$D$43*$D$41)*($Z9/168)*(1/($AA9*$AA9))*$D$25)</f>
        <v>0</v>
      </c>
      <c r="AE9" s="123">
        <f>IF(Scenario!J8="nee",0,($H$15*$D$29*$D$27+$H$16*$D$36*$D$34+$H$17*$D$43*$D$41)*($Z9/168)*(1/($AA9*$AA9))*$D$25)</f>
        <v>0</v>
      </c>
    </row>
    <row r="10" spans="1:31" x14ac:dyDescent="0.2">
      <c r="A10" s="99"/>
      <c r="B10" s="98"/>
      <c r="C10" s="100" t="s">
        <v>127</v>
      </c>
      <c r="D10" s="101"/>
      <c r="E10" s="100"/>
      <c r="F10" s="98"/>
      <c r="G10" s="100" t="s">
        <v>0</v>
      </c>
      <c r="H10" s="102">
        <f>IF($D$45="tijd",IF(AND(OR(ISNUMBER($D$49)=FALSE,$D$20+$D$22&lt;$D$49),$D$20&gt;$D$47),$D$24*(-1/($D$48+$D$26))*EXP(-($D$46-$D$48)*$D$47)*(EXP(-($D$48+$D$26)*($D$20+$D$22))-EXP(-($D$48+$D$26)*$D$20)),IF(OR(ISNUMBER($D$47)=FALSE,$D$20+$D$22&lt;$D$47),$D$24*(-1/($D$26+$D$46))*(EXP(-($D$26+$D$46)*($D$20+$D$22))-EXP(-($D$26+$D$46)*$D$20)),IF(AND(OR(ISNUMBER($D$49)=FALSE,$D$20+$D$22&lt;$D$49),$D$20&lt;$D$47),$D$24*(-1/($D$26+$D$46))*(EXP(-($D$26+$D$46)*$D$47)-EXP(-($D$26+$D$46)*$D$20))+$D$24*(-1/($D$26+$D$48))*EXP(-($D$46-$D$48)*$D$47)*(EXP(-($D$26+$D$48)*($D$20+$D$22))-EXP(-($D$26+$D$48)*$D$47)),IF(AND($D$20&lt;$D$47,$D$20+$D$22&gt;$D$49),$D$24*(-1/($D$26+$D$46))*(EXP(-($D$26+$D$46)*$D$47)-EXP(-($D$26+$D$46)*$D$20))+$D$24*(-1/($D$26+$D$48))*EXP(-($D$46-$D$48)*$D$47)*(EXP(-($D$26+$D$48)*$D$49)-EXP(-($D$26+$D$48)*$D$47))+$D$24*(-1/($D$26+$D$50))*EXP(-($D$46-$D$48)*$D$47)*EXP(-($D$48-$D$50)*$D$49)*(EXP(-($D$50+$D$26)*($D$20+$D$22))-EXP(-($D$26+$D$48)*$D$49)),IF(AND($D$20&lt;$D$49,$D$20+$D$22&gt;$D$49),$D$24*(-1/($D$26+$D$48))*EXP(-($D$46-$D$48)*$D$47)*(EXP(-($D$26+$D$48)*$D$49)-EXP(-($D$26+$D$48)*$D$20))+$D$24*(-1/($D$26+$D$50))*EXP(-($D$46-$D$48)*$D$47)*EXP(-($D$48-$D$50)*$D$49)*(EXP(-($D$50+$D$26)*($D$20+$D$22))-EXP(-($D$26+$D$48)*$D$49)),$D$24*(-1/($D$26+$D$50))*EXP(-($D$46-$D$48)*$D$47)*EXP(-($D$48-$D$50)*$D$49)*(EXP(-($D$50+$D$26)*($D$20+$D$22))-EXP(-($D$26+$D$48)*$D$20))))))),IF($D$51="",IF($D$49="",$D$24*(-1/($D$46+$D$26))*(EXP(-($D$46+$D$26)*($D$20+$D$22))-EXP(-($D$46+$D$26)*$D$20)),$D$24*$D$47*(-1/($D$46+$D$26))*(EXP(-($D$46+$D$26)*($D$20+$D$22))-EXP(-($D$46+$D$26)*$D$20))+$D$24*$D$49*(-1/($D$48+$D$26))*(EXP(-($D$48+$D$26)*($D$20+$D$22))-EXP(-($D$48+$D$26)*$D$20))),$D$24*$D$47*(-1/($D$46+$D$26))*(EXP(-($D$46+$D$26)*($D$20+$D$22))-EXP(-($D$46+$D$26)*$D$20))+$D$24*$D$49*(-1/($D$48+$D$26))*(EXP(-($D$48+$D$26)*($D$20+$D$22))-EXP(-($D$48+$D$26)*$D$20))+$D$24*$D$51*(-1/($D$50+$D$26))*(EXP(-($D$50+$D$26)*($D$20+$D$22))-EXP(-($D$50+$D$26)*$D$20))))</f>
        <v>22.843581030891492</v>
      </c>
      <c r="I10" s="100" t="s">
        <v>165</v>
      </c>
      <c r="J10" s="98"/>
      <c r="K10" s="120" t="str">
        <f>Scenario!$A9</f>
        <v>Kinderen spelen, voorlezen</v>
      </c>
      <c r="L10" s="121">
        <f t="shared" si="1"/>
        <v>15.227641352253086</v>
      </c>
      <c r="M10" s="122">
        <f t="shared" si="2"/>
        <v>0</v>
      </c>
      <c r="N10" s="122">
        <f t="shared" si="3"/>
        <v>0</v>
      </c>
      <c r="O10" s="123">
        <f t="shared" si="4"/>
        <v>0</v>
      </c>
      <c r="P10" s="98"/>
      <c r="Q10" s="124" t="str">
        <f>Scenario!$A9</f>
        <v>Kinderen spelen, voorlezen</v>
      </c>
      <c r="R10" s="125">
        <f>Scenario!$D9</f>
        <v>0</v>
      </c>
      <c r="S10" s="126">
        <f>Scenario!$F9</f>
        <v>0.8</v>
      </c>
      <c r="T10" s="121">
        <f>IF(Scenario!K9="nee",0,($H$10*$D$29*$D$27+$H$11*$D$36*$D$34+$H$12*$D$43*$D$41)*($R10/168)*(1/($S10*$S10))*$D$25)</f>
        <v>0</v>
      </c>
      <c r="U10" s="122">
        <f>IF(Scenario!L9="nee",0,($H$10*$D$29*$D$27+$H$11*$D$36*$D$34+$H$12*$D$43*$D$41)*($R10/168)*(1/($S10*$S10))*$D$25)</f>
        <v>0</v>
      </c>
      <c r="V10" s="122">
        <f>IF(Scenario!M9="nee",0,($H$10*$D$29*$D$27+$H$11*$D$36*$D$34+$H$12*$D$43*$D$41)*($R10/168)*(1/($S10*$S10))*$D$25)</f>
        <v>0</v>
      </c>
      <c r="W10" s="123">
        <f>IF(Scenario!N9="nee",0,($H$10*$D$29*$D$27+$H$11*$D$36*$D$34+$H$12*$D$43*$D$41)*($R10/168)*(1/($S10*$S10))*$D$25)</f>
        <v>0</v>
      </c>
      <c r="X10" s="98"/>
      <c r="Y10" s="124" t="str">
        <f>Scenario!$A9</f>
        <v>Kinderen spelen, voorlezen</v>
      </c>
      <c r="Z10" s="125">
        <f>Scenario!$C9</f>
        <v>2.2000000000000002</v>
      </c>
      <c r="AA10" s="126">
        <f>Scenario!$E9</f>
        <v>0.8</v>
      </c>
      <c r="AB10" s="121">
        <f>IF(Scenario!G9="nee",0,($H$15*$D$29*$D$27+$H$16*$D$36*$D$34+$H$17*$D$43*$D$41)*($Z10/168)*(1/($AA10*$AA10))*$D$25)</f>
        <v>15.227641352253086</v>
      </c>
      <c r="AC10" s="122">
        <f>IF(Scenario!H9="nee",0,($H$15*$D$29*$D$27+$H$16*$D$36*$D$34+$H$17*$D$43*$D$41)*($Z10/168)*(1/($AA10*$AA10))*$D$25)</f>
        <v>0</v>
      </c>
      <c r="AD10" s="122">
        <f>IF(Scenario!I9="nee",0,($H$15*$D$29*$D$27+$H$16*$D$36*$D$34+$H$17*$D$43*$D$41)*($Z10/168)*(1/($AA10*$AA10))*$D$25)</f>
        <v>0</v>
      </c>
      <c r="AE10" s="123">
        <f>IF(Scenario!J9="nee",0,($H$15*$D$29*$D$27+$H$16*$D$36*$D$34+$H$17*$D$43*$D$41)*($Z10/168)*(1/($AA10*$AA10))*$D$25)</f>
        <v>0</v>
      </c>
    </row>
    <row r="11" spans="1:31" x14ac:dyDescent="0.2">
      <c r="A11" s="99"/>
      <c r="B11" s="98"/>
      <c r="C11" s="100" t="s">
        <v>14</v>
      </c>
      <c r="D11" s="101" t="s">
        <v>25</v>
      </c>
      <c r="E11" s="100"/>
      <c r="F11" s="98"/>
      <c r="G11" s="100" t="str">
        <f>IF($D$11="Geen verontreiniging","","Verontreiniging #1")</f>
        <v/>
      </c>
      <c r="H11" s="112">
        <f>IF(D11="Geen verontreiniging",0,IF($D$45="tijd",IF(AND(OR(ISNUMBER($D$49)=FALSE,$D$20+$D$22&lt;$D$49),$D$20&gt;$D$47),$D$32*(-1/($D$48+$D$33))*EXP(-($D$46-$D$48)*$D$47)*(EXP(-($D$48+$D$33)*($D$20+$D$22))-EXP(-($D$48+$D$33)*$D$20)),IF(OR(ISNUMBER($D$47)=FALSE,$D$20+$D$22&lt;$D$47),$D$32*(-1/($D$33+$D$46))*(EXP(-($D$33+$D$46)*($D$20+$D$22))-EXP(-($D$33+$D$46)*$D$20)),IF(AND(OR(ISNUMBER($D$49)=FALSE,$D$20+$D$22&lt;$D$49),$D$20&lt;$D$47),$D$32*(-1/($D$33+$D$46))*(EXP(-($D$33+$D$46)*$D$47)-EXP(-($D$33+$D$46)*$D$20))+$D$32*(-1/($D$33+$D$48))*EXP(-($D$46-$D$48)*$D$47)*(EXP(-($D$33+$D$48)*($D$20+$D$22))-EXP(-($D$33+$D$48)*$D$47)),IF(AND($D$20&lt;$D$47,$D$20+$D$22&gt;$D$49),$D$32*(-1/($D$33+$D$46))*(EXP(-($D$33+$D$46)*$D$47)-EXP(-($D$33+$D$46)*$D$20))+$D$32*(-1/($D$33+$D$48))*EXP(-($D$46-$D$48)*$D$47)*(EXP(-($D$33+$D$48)*$D$49)-EXP(-($D$33+$D$48)*$D$47))+$D$32*(-1/($D$33+$D$50))*EXP(-($D$46-$D$48)*$D$47)*EXP(-($D$48-$D$50)*$D$49)*(EXP(-($D$50+$D$33)*($D$20+$D$22))-EXP(-($D$33+$D$48)*$D$49)),IF(AND($D$20&lt;$D$49,$D$20+$D$22&gt;$D$49),$D$32*(-1/($D$33+$D$48))*EXP(-($D$46-$D$48)*$D$47)*(EXP(-($D$33+$D$48)*$D$49)-EXP(-($D$33+$D$48)*$D$20))+$D$32*(-1/($D$33+$D$50))*EXP(-($D$46-$D$48)*$D$47)*EXP(-($D$48-$D$50)*$D$49)*(EXP(-($D$50+$D$33)*($D$20+$D$22))-EXP(-($D$33+$D$48)*$D$49)),$D$32*(-1/($D$33+$D$50))*EXP(-($D$46-$D$48)*$D$47)*EXP(-($D$48-$D$50)*$D$49)*(EXP(-($D$50+$D$33)*($D$20+$D$22))-EXP(-($D$33+$D$48)*$D$20))))))),IF($D$51="",IF($D$49="",$D$32*(-1/($D$46+$D$33))*(EXP(-($D$46+$D$33)*($D$20+$D$22))-EXP(-($D$46+$D$33)*$D$20)),$D$32*$D$47*(-1/($D$46+$D$33))*(EXP(-($D$46+$D$33)*($D$20+$D$22))-EXP(-($D$46+$D$33)*$D$20))+$D$32*$D$49*(-1/($D$48+$D$33))*(EXP(-($D$48+$D$33)*($D$20+$D$22))-EXP(-($D$48+$D$33)*$D$20))),$D$32*$D$47*(-1/($D$46+$D$33))*(EXP(-($D$46+$D$33)*($D$20+$D$22))-EXP(-($D$46+$D$33)*$D$20))+$D$32*$D$49*(-1/($D$48+$D$33))*(EXP(-($D$48+$D$33)*($D$20+$D$22))-EXP(-($D$48+$D$33)*$D$20))+$D$32*$D$51*(-1/($D$50+$D$33))*(EXP(-($D$50+$D$33)*($D$20+$D$22))-EXP(-($D$50+$D$33)*$D$20)))))</f>
        <v>0</v>
      </c>
      <c r="I11" s="100" t="str">
        <f>IF($D$11="Geen verontreiniging","","GBq h")</f>
        <v/>
      </c>
      <c r="J11" s="98"/>
      <c r="K11" s="120" t="str">
        <f>Scenario!$A10</f>
        <v>Kind vergezellen</v>
      </c>
      <c r="L11" s="121">
        <f t="shared" si="1"/>
        <v>4.8451586120805263</v>
      </c>
      <c r="M11" s="122">
        <f t="shared" si="2"/>
        <v>0</v>
      </c>
      <c r="N11" s="122">
        <f t="shared" si="3"/>
        <v>0</v>
      </c>
      <c r="O11" s="123">
        <f t="shared" si="4"/>
        <v>0</v>
      </c>
      <c r="P11" s="98"/>
      <c r="Q11" s="124" t="str">
        <f>Scenario!$A10</f>
        <v>Kind vergezellen</v>
      </c>
      <c r="R11" s="125">
        <f>Scenario!$D10</f>
        <v>0</v>
      </c>
      <c r="S11" s="128">
        <f>Scenario!$F10</f>
        <v>0.8</v>
      </c>
      <c r="T11" s="121">
        <f>IF(Scenario!K10="nee",0,($H$10*$D$29*$D$27+$H$11*$D$36*$D$34+$H$12*$D$43*$D$41)*($R11/168)*(1/($S11*$S11))*$D$25)</f>
        <v>0</v>
      </c>
      <c r="U11" s="122">
        <f>IF(Scenario!L10="nee",0,($H$10*$D$29*$D$27+$H$11*$D$36*$D$34+$H$12*$D$43*$D$41)*($R11/168)*(1/($S11*$S11))*$D$25)</f>
        <v>0</v>
      </c>
      <c r="V11" s="122">
        <f>IF(Scenario!M10="nee",0,($H$10*$D$29*$D$27+$H$11*$D$36*$D$34+$H$12*$D$43*$D$41)*($R11/168)*(1/($S11*$S11))*$D$25)</f>
        <v>0</v>
      </c>
      <c r="W11" s="123">
        <f>IF(Scenario!N10="nee",0,($H$10*$D$29*$D$27+$H$11*$D$36*$D$34+$H$12*$D$43*$D$41)*($R11/168)*(1/($S11*$S11))*$D$25)</f>
        <v>0</v>
      </c>
      <c r="X11" s="98"/>
      <c r="Y11" s="124" t="str">
        <f>Scenario!$A10</f>
        <v>Kind vergezellen</v>
      </c>
      <c r="Z11" s="125">
        <f>Scenario!$C10</f>
        <v>0.7</v>
      </c>
      <c r="AA11" s="128">
        <f>Scenario!$E10</f>
        <v>0.8</v>
      </c>
      <c r="AB11" s="121">
        <f>IF(Scenario!G10="nee",0,($H$15*$D$29*$D$27+$H$16*$D$36*$D$34+$H$17*$D$43*$D$41)*($Z11/168)*(1/($AA11*$AA11))*$D$25)</f>
        <v>4.8451586120805263</v>
      </c>
      <c r="AC11" s="122">
        <f>IF(Scenario!H10="nee",0,($H$15*$D$29*$D$27+$H$16*$D$36*$D$34+$H$17*$D$43*$D$41)*($Z11/168)*(1/($AA11*$AA11))*$D$25)</f>
        <v>0</v>
      </c>
      <c r="AD11" s="122">
        <f>IF(Scenario!I10="nee",0,($H$15*$D$29*$D$27+$H$16*$D$36*$D$34+$H$17*$D$43*$D$41)*($Z11/168)*(1/($AA11*$AA11))*$D$25)</f>
        <v>0</v>
      </c>
      <c r="AE11" s="123">
        <f>IF(Scenario!J10="nee",0,($H$15*$D$29*$D$27+$H$16*$D$36*$D$34+$H$17*$D$43*$D$41)*($Z11/168)*(1/($AA11*$AA11))*$D$25)</f>
        <v>0</v>
      </c>
    </row>
    <row r="12" spans="1:31" x14ac:dyDescent="0.2">
      <c r="A12" s="99"/>
      <c r="B12" s="98"/>
      <c r="C12" s="100" t="str">
        <f>IF(D11="Geen verontreiniging","","Activiteit verontreiniging #1")</f>
        <v/>
      </c>
      <c r="D12" s="101"/>
      <c r="E12" s="100" t="str">
        <f>IF(D11="Geen verontreiniging","","GBq")</f>
        <v/>
      </c>
      <c r="F12" s="98"/>
      <c r="G12" s="100" t="str">
        <f>IF($D$13="Geen verontreiniging","","Verontreiniging #2")</f>
        <v/>
      </c>
      <c r="H12" s="112">
        <f>IF(D13="Geen verontreiniging",0,IF($D$45="tijd",IF(AND(OR(ISNUMBER($D$49)=FALSE,$D$20+$D$22&lt;$D$49),$D$20&gt;$D$47),$D$39*(-1/($D$48+$D$40))*EXP(-($D$46-$D$48)*$D$47)*(EXP(-($D$48+$D$40)*($D$20+$D$22))-EXP(-($D$48+$D$40)*$D$20)),IF(OR(ISNUMBER($D$47)=FALSE,$D$20+$D$22&lt;$D$47),$D$39*(-1/($D$40+$D$46))*(EXP(-($D$40+$D$46)*($D$20+$D$22))-EXP(-($D$40+$D$46)*$D$20)),IF(AND(OR(ISNUMBER($D$49)=FALSE,$D$20+$D$22&lt;$D$49),$D$20&lt;$D$47),$D$39*(-1/($D$40+$D$46))*(EXP(-($D$40+$D$46)*$D$47)-EXP(-($D$40+$D$46)*$D$20))+$D$39*(-1/($D$40+$D$48))*EXP(-($D$46-$D$48)*$D$47)*(EXP(-($D$40+$D$48)*($D$20+$D$22))-EXP(-($D$40+$D$48)*$D$47)),IF(AND($D$20&lt;$D$47,$D$20+$D$22&gt;$D$49),$D$39*(-1/($D$40+$D$46))*(EXP(-($D$40+$D$46)*$D$47)-EXP(-($D$40+$D$46)*$D$20))+$D$39*(-1/($D$40+$D$48))*EXP(-($D$46-$D$48)*$D$47)*(EXP(-($D$40+$D$48)*$D$49)-EXP(-($D$40+$D$48)*$D$47))+$D$39*(-1/($D$40+$D$50))*EXP(-($D$46-$D$48)*$D$47)*EXP(-($D$48-$D$50)*$D$49)*(EXP(-($D$50+$D$40)*($D$20+$D$22))-EXP(-($D$40+$D$48)*$D$49)),IF(AND($D$20&lt;$D$49,$D$20+$D$22&gt;$D$49),$D$39*(-1/($D$40+$D$48))*EXP(-($D$46-$D$48)*$D$47)*(EXP(-($D$40+$D$48)*$D$49)-EXP(-($D$40+$D$48)*$D$20))+D39*(-1/($D$40+$D$50))*EXP(-($D$46-$D$48)*$D$47)*EXP(-($D$48-$D$50)*$D$49)*(EXP(-($D$50+$D$40)*($D$20+$D$22))-EXP(-($D$40+$D$48)*$D$49)),$D$39*(-1/($D$40+$D$50))*EXP(-($D$46-$D$48)*$D$47)*EXP(-($D$48-$D$50)*$D$49)*(EXP(-($D$50+$D$40)*($D$20+$D$22))-EXP(-($D$40+$D$48)*$D$20))))))),IF($D$51="",IF($D$49="",$D$39*(-1/($D$46+$D$40))*(EXP(-($D$46+$D$40)*($D$20+$D$22))-EXP(-($D$46+$D$40)*$D$20)),$D$39*$D$47*(-1/($D$46+$D$40))*(EXP(-($D$46+$D$40)*($D$20+$D$22))-EXP(-($D$46+$D$40)*$D$20))+$D$39*$D$49*(-1/($D$48+$D$40))*(EXP(-($D$48+$D$40)*($D$20+$D$22))-EXP(-($D$48+$D$40)*$D$20))),$D$39*$D$47*(-1/($D$46+$D$40))*(EXP(-($D$46+$D$40)*($D$20+$D$22))-EXP(-($D$46+$D$40)*$D$20))+$D$39*$D$49*(-1/($D$48+$D$40))*(EXP(-($D$48+$D$40)*($D$20+$D$22))-EXP(-($D$48+$D$40)*$D$20))+$D$39*$D$51*(-1/($D$50+$D$40))*(EXP(-($D$50+$D$40)*($D$20+$D$22))-EXP(-($D$50+$D$40)*$D$20)))))</f>
        <v>0</v>
      </c>
      <c r="I12" s="100" t="str">
        <f>IF($D$13="Geen verontreiniging","","GBq h")</f>
        <v/>
      </c>
      <c r="J12" s="98"/>
      <c r="K12" s="120" t="str">
        <f>Scenario!$A11</f>
        <v>Bedrust</v>
      </c>
      <c r="L12" s="121">
        <f t="shared" si="1"/>
        <v>0</v>
      </c>
      <c r="M12" s="122">
        <f t="shared" si="2"/>
        <v>452.68581520240008</v>
      </c>
      <c r="N12" s="122">
        <f t="shared" si="3"/>
        <v>452.68581520240008</v>
      </c>
      <c r="O12" s="123">
        <f t="shared" si="4"/>
        <v>0</v>
      </c>
      <c r="P12" s="98"/>
      <c r="Q12" s="124" t="str">
        <f>Scenario!$A11</f>
        <v>Bedrust</v>
      </c>
      <c r="R12" s="125">
        <f>Scenario!$D11</f>
        <v>56</v>
      </c>
      <c r="S12" s="128">
        <f>Scenario!$F11</f>
        <v>2.8</v>
      </c>
      <c r="T12" s="121">
        <f>IF(Scenario!K11="nee",0,($H$10*$D$29*$D$27+$H$11*$D$36*$D$34+$H$12*$D$43*$D$41)*($R12/168)*(1/($S12*$S12))*$D$25)</f>
        <v>0</v>
      </c>
      <c r="U12" s="122">
        <f>IF(Scenario!L11="nee",0,($H$10*$D$29*$D$27+$H$11*$D$36*$D$34+$H$12*$D$43*$D$41)*($R12/168)*(1/($S12*$S12))*$D$25)</f>
        <v>65.073126235957929</v>
      </c>
      <c r="V12" s="122">
        <f>IF(Scenario!M11="nee",0,($H$10*$D$29*$D$27+$H$11*$D$36*$D$34+$H$12*$D$43*$D$41)*($R12/168)*(1/($S12*$S12))*$D$25)</f>
        <v>65.073126235957929</v>
      </c>
      <c r="W12" s="123">
        <f>IF(Scenario!N11="nee",0,($H$10*$D$29*$D$27+$H$11*$D$36*$D$34+$H$12*$D$43*$D$41)*($R12/168)*(1/($S12*$S12))*$D$25)</f>
        <v>0</v>
      </c>
      <c r="X12" s="98"/>
      <c r="Y12" s="124" t="str">
        <f>Scenario!$A11</f>
        <v>Bedrust</v>
      </c>
      <c r="Z12" s="125">
        <f>Scenario!$C11</f>
        <v>56</v>
      </c>
      <c r="AA12" s="128">
        <f>Scenario!$E11</f>
        <v>0.8</v>
      </c>
      <c r="AB12" s="121">
        <f>IF(Scenario!G11="nee",0,($H$15*$D$29*$D$27+$H$16*$D$36*$D$34+$H$17*$D$43*$D$41)*($Z12/168)*(1/($AA12*$AA12))*$D$25)</f>
        <v>0</v>
      </c>
      <c r="AC12" s="122">
        <f>IF(Scenario!H11="nee",0,($H$15*$D$29*$D$27+$H$16*$D$36*$D$34+$H$17*$D$43*$D$41)*($Z12/168)*(1/($AA12*$AA12))*$D$25)</f>
        <v>387.61268896644214</v>
      </c>
      <c r="AD12" s="122">
        <f>IF(Scenario!I11="nee",0,($H$15*$D$29*$D$27+$H$16*$D$36*$D$34+$H$17*$D$43*$D$41)*($Z12/168)*(1/($AA12*$AA12))*$D$25)</f>
        <v>387.61268896644214</v>
      </c>
      <c r="AE12" s="123">
        <f>IF(Scenario!J11="nee",0,($H$15*$D$29*$D$27+$H$16*$D$36*$D$34+$H$17*$D$43*$D$41)*($Z12/168)*(1/($AA12*$AA12))*$D$25)</f>
        <v>0</v>
      </c>
    </row>
    <row r="13" spans="1:31" x14ac:dyDescent="0.2">
      <c r="A13" s="99"/>
      <c r="B13" s="98"/>
      <c r="C13" s="100" t="s">
        <v>16</v>
      </c>
      <c r="D13" s="101" t="s">
        <v>25</v>
      </c>
      <c r="E13" s="100"/>
      <c r="F13" s="98"/>
      <c r="G13" s="98"/>
      <c r="H13" s="98"/>
      <c r="I13" s="98"/>
      <c r="J13" s="98"/>
      <c r="K13" s="120" t="str">
        <f>Scenario!$A12</f>
        <v>Vrijen</v>
      </c>
      <c r="L13" s="121">
        <f t="shared" si="1"/>
        <v>0</v>
      </c>
      <c r="M13" s="122">
        <f t="shared" si="2"/>
        <v>84.62560609692332</v>
      </c>
      <c r="N13" s="122">
        <f t="shared" si="3"/>
        <v>84.62560609692332</v>
      </c>
      <c r="O13" s="123">
        <f t="shared" si="4"/>
        <v>0</v>
      </c>
      <c r="P13" s="98"/>
      <c r="Q13" s="124" t="str">
        <f>Scenario!$A12</f>
        <v>Vrijen</v>
      </c>
      <c r="R13" s="125">
        <f>Scenario!$D12</f>
        <v>1</v>
      </c>
      <c r="S13" s="128">
        <f>Scenario!$F12</f>
        <v>0.4</v>
      </c>
      <c r="T13" s="121">
        <f>IF(Scenario!K12="nee",0,($H$10*$D$29*$D$27+$H$11*$D$36*$D$34+$H$12*$D$43*$D$41)*($R13/168)*(1/($S13*$S13))*$D$25)</f>
        <v>0</v>
      </c>
      <c r="U13" s="122">
        <f>IF(Scenario!L12="nee",0,($H$10*$D$29*$D$27+$H$11*$D$36*$D$34+$H$12*$D$43*$D$41)*($R13/168)*(1/($S13*$S13))*$D$25)</f>
        <v>56.938985456463158</v>
      </c>
      <c r="V13" s="122">
        <f>IF(Scenario!M12="nee",0,($H$10*$D$29*$D$27+$H$11*$D$36*$D$34+$H$12*$D$43*$D$41)*($R13/168)*(1/($S13*$S13))*$D$25)</f>
        <v>56.938985456463158</v>
      </c>
      <c r="W13" s="123">
        <f>IF(Scenario!N12="nee",0,($H$10*$D$29*$D$27+$H$11*$D$36*$D$34+$H$12*$D$43*$D$41)*($R13/168)*(1/($S13*$S13))*$D$25)</f>
        <v>0</v>
      </c>
      <c r="X13" s="98"/>
      <c r="Y13" s="124" t="str">
        <f>Scenario!$A12</f>
        <v>Vrijen</v>
      </c>
      <c r="Z13" s="125">
        <f>Scenario!$C12</f>
        <v>1</v>
      </c>
      <c r="AA13" s="128">
        <f>Scenario!$E12</f>
        <v>0.4</v>
      </c>
      <c r="AB13" s="121">
        <f>IF(Scenario!G12="nee",0,($H$15*$D$29*$D$27+$H$16*$D$36*$D$34+$H$17*$D$43*$D$41)*($Z13/168)*(1/($AA13*$AA13))*$D$25)</f>
        <v>0</v>
      </c>
      <c r="AC13" s="122">
        <f>IF(Scenario!H12="nee",0,($H$15*$D$29*$D$27+$H$16*$D$36*$D$34+$H$17*$D$43*$D$41)*($Z13/168)*(1/($AA13*$AA13))*$D$25)</f>
        <v>27.686620640460156</v>
      </c>
      <c r="AD13" s="122">
        <f>IF(Scenario!I12="nee",0,($H$15*$D$29*$D$27+$H$16*$D$36*$D$34+$H$17*$D$43*$D$41)*($Z13/168)*(1/($AA13*$AA13))*$D$25)</f>
        <v>27.686620640460156</v>
      </c>
      <c r="AE13" s="123">
        <f>IF(Scenario!J12="nee",0,($H$15*$D$29*$D$27+$H$16*$D$36*$D$34+$H$17*$D$43*$D$41)*($Z13/168)*(1/($AA13*$AA13))*$D$25)</f>
        <v>0</v>
      </c>
    </row>
    <row r="14" spans="1:31" x14ac:dyDescent="0.2">
      <c r="A14" s="99"/>
      <c r="B14" s="98"/>
      <c r="C14" s="100" t="str">
        <f>IF(D13="Geen verontreiniging","","Activiteit verontreiniging #1")</f>
        <v/>
      </c>
      <c r="D14" s="101"/>
      <c r="E14" s="100" t="str">
        <f>IF(D13="Geen verontreiniging","","GBq")</f>
        <v/>
      </c>
      <c r="F14" s="98"/>
      <c r="G14" s="100" t="s">
        <v>26</v>
      </c>
      <c r="H14" s="100"/>
      <c r="I14" s="100"/>
      <c r="J14" s="98"/>
      <c r="K14" s="120" t="str">
        <f>Scenario!$A13</f>
        <v>Eten en drinken</v>
      </c>
      <c r="L14" s="121">
        <f t="shared" si="1"/>
        <v>147.45059665834611</v>
      </c>
      <c r="M14" s="122">
        <f t="shared" si="2"/>
        <v>147.45059665834611</v>
      </c>
      <c r="N14" s="122">
        <f t="shared" si="3"/>
        <v>147.45059665834611</v>
      </c>
      <c r="O14" s="123">
        <f t="shared" si="4"/>
        <v>0</v>
      </c>
      <c r="P14" s="98"/>
      <c r="Q14" s="130" t="str">
        <f>Scenario!$A13</f>
        <v>Eten en drinken</v>
      </c>
      <c r="R14" s="131">
        <f>Scenario!$D13</f>
        <v>10.8</v>
      </c>
      <c r="S14" s="126">
        <f>Scenario!$F13</f>
        <v>2.6</v>
      </c>
      <c r="T14" s="121">
        <f>IF(Scenario!K13="nee",0,($H$10*$D$29*$D$27+$H$11*$D$36*$D$34+$H$12*$D$43*$D$41)*($R14/168)*(1/($S14*$S14))*$D$25)</f>
        <v>14.554817584137332</v>
      </c>
      <c r="U14" s="122">
        <f>IF(Scenario!L13="nee",0,($H$10*$D$29*$D$27+$H$11*$D$36*$D$34+$H$12*$D$43*$D$41)*($R14/168)*(1/($S14*$S14))*$D$25)</f>
        <v>14.554817584137332</v>
      </c>
      <c r="V14" s="122">
        <f>IF(Scenario!M13="nee",0,($H$10*$D$29*$D$27+$H$11*$D$36*$D$34+$H$12*$D$43*$D$41)*($R14/168)*(1/($S14*$S14))*$D$25)</f>
        <v>14.554817584137332</v>
      </c>
      <c r="W14" s="123">
        <f>IF(Scenario!N13="nee",0,($H$10*$D$29*$D$27+$H$11*$D$36*$D$34+$H$12*$D$43*$D$41)*($R14/168)*(1/($S14*$S14))*$D$25)</f>
        <v>0</v>
      </c>
      <c r="X14" s="98"/>
      <c r="Y14" s="130" t="str">
        <f>Scenario!$A13</f>
        <v>Eten en drinken</v>
      </c>
      <c r="Z14" s="131">
        <f>Scenario!$C13</f>
        <v>10.8</v>
      </c>
      <c r="AA14" s="126">
        <f>Scenario!$E13</f>
        <v>0.6</v>
      </c>
      <c r="AB14" s="121">
        <f>IF(Scenario!G13="nee",0,($H$15*$D$29*$D$27+$H$16*$D$36*$D$34+$H$17*$D$43*$D$41)*($Z14/168)*(1/($AA14*$AA14))*$D$25)</f>
        <v>132.89577907420878</v>
      </c>
      <c r="AC14" s="122">
        <f>IF(Scenario!H13="nee",0,($H$15*$D$29*$D$27+$H$16*$D$36*$D$34+$H$17*$D$43*$D$41)*($Z14/168)*(1/($AA14*$AA14))*$D$25)</f>
        <v>132.89577907420878</v>
      </c>
      <c r="AD14" s="122">
        <f>IF(Scenario!I13="nee",0,($H$15*$D$29*$D$27+$H$16*$D$36*$D$34+$H$17*$D$43*$D$41)*($Z14/168)*(1/($AA14*$AA14))*$D$25)</f>
        <v>132.89577907420878</v>
      </c>
      <c r="AE14" s="123">
        <f>IF(Scenario!J13="nee",0,($H$15*$D$29*$D$27+$H$16*$D$36*$D$34+$H$17*$D$43*$D$41)*($Z14/168)*(1/($AA14*$AA14))*$D$25)</f>
        <v>0</v>
      </c>
    </row>
    <row r="15" spans="1:31" x14ac:dyDescent="0.2">
      <c r="A15" s="99"/>
      <c r="B15" s="98"/>
      <c r="C15" s="98"/>
      <c r="D15" s="98"/>
      <c r="E15" s="98"/>
      <c r="F15" s="98"/>
      <c r="G15" s="100" t="s">
        <v>0</v>
      </c>
      <c r="H15" s="102">
        <f>IF($D$45="tijd",IF(AND(OR(ISNUMBER($D$49)=FALSE,$D$20+$D$21&lt;$D$49),$D$20+$D$22&gt;$D$47),$D$24*(-1/($D$48+$D$26))*EXP(-($D$46-$D$48)*$D$47)*(EXP(-($D$48+$D$26)*($D$20+$D$21))-EXP(-($D$48+$D$26)*($D$20+$D$22))),IF(OR(ISNUMBER($D$47)=FALSE,$D$20+$D$21&lt;$D$47),$D$24*(-1/($D$26+$D$46))*(EXP(-($D$26+$D$46)*($D$20+$D$21))-EXP(-($D$26+$D$46)*($D$20+$D$22))),IF(AND(OR(ISNUMBER($D$49)=FALSE,$D$20+$D$21&lt;$D$49),$D$20+$D$22&lt;$D$47),$D$24*(-1/($D$26+$D$46))*(EXP(-($D$26+$D$46)*$D$47)-EXP(-($D$26+$D$46)*($D$20+$D$22)))+$D$24*(-1/($D$26+$D$48))*EXP(-($D$46-$D$48)*$D$47)*(EXP(-($D$26+$D$48)*($D$20+$D$21))-EXP(-($D$26+$D$48)*$D$47)),IF(AND($D$20+$D$22&lt;$D$47,$D$20+$D$21&gt;$D$49),$D$24*(-1/($D$26+$D$46))*(EXP(-($D$26+$D$46)*$D$47)-EXP(-($D$26+$D$46)*($D$20+$D$22)))+$D$24*(-1/($D$26+$D$48))*EXP(-($D$46-$D$48)*$D$47)*(EXP(-($D$26+$D$48)*$D$49)-EXP(-($D$26+$D$48)*$D$47))+$D$24*(-1/($D$26+$D$50))*EXP(-($D$46-$D$48)*$D$47)*EXP(-($D$48-$D$50)*$D$49)*(EXP(-($D$50+$D$26)*($D$20+$D$21))-EXP(-($D$26+$D$48)*$D$49)),IF(AND($D$20+$D$22&lt;$D$49,$D$20+$D$21&gt;$D$49),$D$24*(-1/($D$26+$D$48))*EXP(-($D$46-$D$48)*$D$47)*(EXP(-($D$26+$D$48)*$D$49)-EXP(-($D$26+$D$48)*($D$20+$D$22)))+$D$24*(-1/($D$26+$D$50))*EXP(-($D$46-$D$48)*$D$47)*EXP(-($D$48-$D$50)*$D$49)*(EXP(-($D$50+$D$26)*($D$20+$D$21))-EXP(-($D$26+$D$48)*$D$49)),$D$24*(-1/($D$26+$D$50))*EXP(-($D$46-$D$48)*$D$47)*EXP(-($D$48-$D$50)*$D$49)*(EXP(-($D$50+$D$26)*($D$20+$D$21))-EXP(-($D$26+$D$48)*($D$20+$D$22)))))))),IF($D$51="",IF($D$49="",$D$24*(-1/($D$46+$D$26))*(EXP(-($D$46+$D$26)*($D$20+$D$21))-EXP(-($D$46+$D$26)*($D$20+$D$22))),$D$24*$D$47*(-1/($D$46+$D$26))*((EXP(-($D$46+$D$26)*($D$20+$D$21)))-EXP(-($D$46+$D$26)*($D$20+$D$22)))+$D$24*$D$49*(-1/($D$48+$D$26))*(EXP(-($D$48+$D$26)*($D$20+$D$21))-EXP(-($D$48+$D$26)*($D$20+$D$22)))),$D$24*$D$47*(-1/($D$46+$D$26))*(EXP(-($D$46+$D$26)*($D$20+$D$21))-EXP(-($D$46+$D$26)*($D$20+$D$22)))+$D$24*$D$49*(-1/($D$48+$D$26))*(EXP(-($D$48+$D$26)*($D$20+$D$21))-EXP(-($D$48+$D$26)*($D$20+$D$22)))+$D$24*$D$51*(-1/($D$50+$D$26))*(EXP(-($D$50+$D$26)*($D$20+$D$21))-EXP(-($D$50+$D$26)*($D$20+$D$22)))))</f>
        <v>11.107706907695061</v>
      </c>
      <c r="I15" s="100" t="s">
        <v>165</v>
      </c>
      <c r="J15" s="98"/>
      <c r="K15" s="120" t="str">
        <f>Scenario!$A14</f>
        <v>Overige persoonlijke verzorging</v>
      </c>
      <c r="L15" s="121">
        <f t="shared" si="1"/>
        <v>0</v>
      </c>
      <c r="M15" s="122">
        <f t="shared" si="2"/>
        <v>0</v>
      </c>
      <c r="N15" s="122">
        <f t="shared" si="3"/>
        <v>0</v>
      </c>
      <c r="O15" s="123">
        <f t="shared" si="4"/>
        <v>0</v>
      </c>
      <c r="P15" s="98"/>
      <c r="Q15" s="107" t="str">
        <f>Scenario!$A14</f>
        <v>Overige persoonlijke verzorging</v>
      </c>
      <c r="R15" s="132">
        <f>Scenario!$D14</f>
        <v>6.7</v>
      </c>
      <c r="S15" s="128">
        <f>Scenario!$F14</f>
        <v>0</v>
      </c>
      <c r="T15" s="121">
        <f>IF(Scenario!K14="nee",0,($H$10*$D$29*$D$27+$H$11*$D$36*$D$34+$H$12*$D$43*$D$41)*($R15/168)*(1/($S15*$S15))*$D$25)</f>
        <v>0</v>
      </c>
      <c r="U15" s="122">
        <f>IF(Scenario!L14="nee",0,($H$10*$D$29*$D$27+$H$11*$D$36*$D$34+$H$12*$D$43*$D$41)*($R15/168)*(1/($S15*$S15))*$D$25)</f>
        <v>0</v>
      </c>
      <c r="V15" s="122">
        <f>IF(Scenario!M14="nee",0,($H$10*$D$29*$D$27+$H$11*$D$36*$D$34+$H$12*$D$43*$D$41)*($R15/168)*(1/($S15*$S15))*$D$25)</f>
        <v>0</v>
      </c>
      <c r="W15" s="123">
        <f>IF(Scenario!N14="nee",0,($H$10*$D$29*$D$27+$H$11*$D$36*$D$34+$H$12*$D$43*$D$41)*($R15/168)*(1/($S15*$S15))*$D$25)</f>
        <v>0</v>
      </c>
      <c r="X15" s="98"/>
      <c r="Y15" s="107" t="str">
        <f>Scenario!$A14</f>
        <v>Overige persoonlijke verzorging</v>
      </c>
      <c r="Z15" s="132">
        <f>Scenario!$C14</f>
        <v>6.7</v>
      </c>
      <c r="AA15" s="128">
        <f>Scenario!$E14</f>
        <v>0</v>
      </c>
      <c r="AB15" s="121">
        <f>IF(Scenario!G14="nee",0,($H$15*$D$29*$D$27+$H$16*$D$36*$D$34+$H$17*$D$43*$D$41)*($Z15/168)*(1/($AA15*$AA15))*$D$25)</f>
        <v>0</v>
      </c>
      <c r="AC15" s="122">
        <f>IF(Scenario!H14="nee",0,($H$15*$D$29*$D$27+$H$16*$D$36*$D$34+$H$17*$D$43*$D$41)*($Z15/168)*(1/($AA15*$AA15))*$D$25)</f>
        <v>0</v>
      </c>
      <c r="AD15" s="122">
        <f>IF(Scenario!I14="nee",0,($H$15*$D$29*$D$27+$H$16*$D$36*$D$34+$H$17*$D$43*$D$41)*($Z15/168)*(1/($AA15*$AA15))*$D$25)</f>
        <v>0</v>
      </c>
      <c r="AE15" s="123">
        <f>IF(Scenario!J14="nee",0,($H$15*$D$29*$D$27+$H$16*$D$36*$D$34+$H$17*$D$43*$D$41)*($Z15/168)*(1/($AA15*$AA15))*$D$25)</f>
        <v>0</v>
      </c>
    </row>
    <row r="16" spans="1:31" x14ac:dyDescent="0.2">
      <c r="A16" s="99"/>
      <c r="B16" s="98"/>
      <c r="C16" s="98"/>
      <c r="D16" s="98"/>
      <c r="E16" s="98"/>
      <c r="F16" s="98"/>
      <c r="G16" s="100" t="str">
        <f>IF($D$11="Geen verontreiniging","","Verontreiniging #1")</f>
        <v/>
      </c>
      <c r="H16" s="112">
        <f>IF(D11="Geen verontreiniging",0,IF($D$45="tijd",IF(AND(OR(ISNUMBER($D$49)=FALSE,$D$20+$D$21&lt;$D$49),$D$20+$D$22&gt;$D$47),$D$32*(-1/($D$48+$D$33))*EXP(-($D$46-$D$48)*$D$47)*(EXP(-($D$48+$D$33)*($D$20+$D$21))-EXP(-($D$48+$D$33)*($D$20+$D$22))),IF(OR(ISNUMBER($D$47)=FALSE,$D$20+$D$21&lt;$D$47),$D$32*(-1/($D$33+$D$46))*(EXP(-($D$33+$D$46)*($D$20+$D$21))-EXP(-($D$33+$D$46)*($D$20+$D$22))),IF(AND(OR(ISNUMBER($D$49)=FALSE,$D$20+$D$21&lt;$D$49),$D$20+$D$22&lt;$D$47),$D$32*(-1/($D$33+$D$46))*(EXP(-($D$33+$D$46)*$D$47)-EXP(-($D$33+$D$46)*($D$20+$D$22)))+$D$32*(-1/($D$33+$D$48))*EXP(-($D$46-$D$48)*$D$47)*(EXP(-($D$33+$D$48)*($D$20+$D$21))-EXP(-($D$33+$D$48)*$D$47)),IF(AND($D$20+$D$22&lt;$D$47,$D$20+$D$21&gt;$D$49),$D$32*(-1/($D$33+$D$46))*(EXP(-($D$33+$D$46)*$D$47)-EXP(-($D$33+$D$46)*($D$20+$D$22)))+$D$32*(-1/($D$33+$D$48))*EXP(-($D$46-$D$48)*$D$47)*(EXP(-($D$33+$D$48)*$D$49)-EXP(-($D$33+$D$48)*$D$47))+$D$32*(-1/($D$33+$D$50))*EXP(-($D$46-$D$48)*$D$47)*EXP(-($D$48-$D$50)*$D$49)*(EXP(-($D$50+$D$33)*($D$20+$D$21))-EXP(-($D$33+$D$48)*$D$49)),IF(AND($D$20+$D$22&lt;$D$49,$D$20+$D$21&gt;$D$49),$D$32*(-1/($D$33+$D$48))*EXP(-($D$46-$D$48)*$D$47)*(EXP(-($D$33+$D$48)*$D$49)-EXP(-($D$33+$D$48)*($D$20+$D$22)))+$D$32*(-1/($D$33+$D$50))*EXP(-($D$46-$D$48)*$D$47)*EXP(-($D$48-$D$50)*$D$49)*(EXP(-($D$50+$D$33)*($D$20+$D$21))-EXP(-($D$33+$D$48)*$D$49)),$D$32*(-1/($D$33+$D$50))*EXP(-($D$46-$D$48)*$D$47)*EXP(-($D$48-$D$50)*$D$49)*(EXP(-($D$50+$D$33)*($D$20+$D$21))-EXP(-($D$33+$D$48)*($D$20+$D$22)))))))),IF($D$51="",IF($D$49="",$D$32*(-1/($D$46+$D$33))*(EXP(-($D$46+$D$33)*($D$20+$D$21))-EXP(-($D$46+$D$33)*($D$20+$D$22))),$D$32*$D$47*(-1/($D$46+$D$33))*(EXP(-($D$46+$D$33)*($D$20+$D$21))-EXP(-($D$46+$D$33)*($D$20+$D$22)))+$D$32*$D$49*(-1/($D$48+$D$33))*(EXP(-($D$48+$D$33)*($D$20+$D$21))-EXP(-($D$48+$D$33)*($D$20+$D$22)))),$D$32*$D$47*(-1/($D$46+$D$33))*(EXP(-($D$46+$D$33)*($D$20+$D$21))-EXP(-($D$46+$D$33)*($D$20+$D$22)))+$D$32*$D$49*(-1/($D$48+$D$33))*(EXP(-($D$48+$D$33)*($D$20+$D$21))-EXP(-($D$48+$D$33)*($D$20+$D$22)))+$D$32*$D$51*(-1/($D$50+$D$33))*(EXP(-($D$50+$D$33)*($D$20+$D$21))-EXP(-($D$50+$D$33)*($D$20+$D$22))))))</f>
        <v>0</v>
      </c>
      <c r="I16" s="100" t="str">
        <f>IF($D$11="Geen verontreiniging","","GBq h")</f>
        <v/>
      </c>
      <c r="J16" s="98"/>
      <c r="K16" s="120" t="str">
        <f>Scenario!$A15</f>
        <v>Sociale contacten</v>
      </c>
      <c r="L16" s="121">
        <f t="shared" si="1"/>
        <v>42.888496326626054</v>
      </c>
      <c r="M16" s="122">
        <f t="shared" si="2"/>
        <v>42.888496326626054</v>
      </c>
      <c r="N16" s="122">
        <f t="shared" si="3"/>
        <v>42.888496326626054</v>
      </c>
      <c r="O16" s="123">
        <f t="shared" si="4"/>
        <v>42.888496326626054</v>
      </c>
      <c r="P16" s="98"/>
      <c r="Q16" s="107" t="str">
        <f>Scenario!$A15</f>
        <v>Sociale contacten</v>
      </c>
      <c r="R16" s="132">
        <f>Scenario!$D15</f>
        <v>10.1</v>
      </c>
      <c r="S16" s="129">
        <f>Scenario!$F15</f>
        <v>2</v>
      </c>
      <c r="T16" s="121">
        <f>IF(Scenario!K15="nee",0,($H$10*$D$29*$D$27+$H$11*$D$36*$D$34+$H$12*$D$43*$D$41)*($R16/168)*(1/($S16*$S16))*$D$25)</f>
        <v>23.003350124411121</v>
      </c>
      <c r="U16" s="122">
        <f>IF(Scenario!L15="nee",0,($H$10*$D$29*$D$27+$H$11*$D$36*$D$34+$H$12*$D$43*$D$41)*($R16/168)*(1/($S16*$S16))*$D$25)</f>
        <v>23.003350124411121</v>
      </c>
      <c r="V16" s="122">
        <f>IF(Scenario!M15="nee",0,($H$10*$D$29*$D$27+$H$11*$D$36*$D$34+$H$12*$D$43*$D$41)*($R16/168)*(1/($S16*$S16))*$D$25)</f>
        <v>23.003350124411121</v>
      </c>
      <c r="W16" s="123">
        <f>IF(Scenario!N15="nee",0,($H$10*$D$29*$D$27+$H$11*$D$36*$D$34+$H$12*$D$43*$D$41)*($R16/168)*(1/($S16*$S16))*$D$25)</f>
        <v>23.003350124411121</v>
      </c>
      <c r="X16" s="98"/>
      <c r="Y16" s="107" t="str">
        <f>Scenario!$A15</f>
        <v>Sociale contacten</v>
      </c>
      <c r="Z16" s="132">
        <f>Scenario!$C15</f>
        <v>10.1</v>
      </c>
      <c r="AA16" s="129">
        <f>Scenario!$E15</f>
        <v>1.5</v>
      </c>
      <c r="AB16" s="121">
        <f>IF(Scenario!G15="nee",0,($H$15*$D$29*$D$27+$H$16*$D$36*$D$34+$H$17*$D$43*$D$41)*($Z16/168)*(1/($AA16*$AA16))*$D$25)</f>
        <v>19.885146202214937</v>
      </c>
      <c r="AC16" s="122">
        <f>IF(Scenario!H15="nee",0,($H$15*$D$29*$D$27+$H$16*$D$36*$D$34+$H$17*$D$43*$D$41)*($Z16/168)*(1/($AA16*$AA16))*$D$25)</f>
        <v>19.885146202214937</v>
      </c>
      <c r="AD16" s="122">
        <f>IF(Scenario!I15="nee",0,($H$15*$D$29*$D$27+$H$16*$D$36*$D$34+$H$17*$D$43*$D$41)*($Z16/168)*(1/($AA16*$AA16))*$D$25)</f>
        <v>19.885146202214937</v>
      </c>
      <c r="AE16" s="123">
        <f>IF(Scenario!J15="nee",0,($H$15*$D$29*$D$27+$H$16*$D$36*$D$34+$H$17*$D$43*$D$41)*($Z16/168)*(1/($AA16*$AA16))*$D$25)</f>
        <v>19.885146202214937</v>
      </c>
    </row>
    <row r="17" spans="1:31" x14ac:dyDescent="0.2">
      <c r="A17" s="99"/>
      <c r="B17" s="98"/>
      <c r="C17" s="100" t="s">
        <v>27</v>
      </c>
      <c r="D17" s="100"/>
      <c r="E17" s="100"/>
      <c r="F17" s="98"/>
      <c r="G17" s="100" t="str">
        <f>IF($D$13="Geen verontreiniging","","Verontreiniging #2")</f>
        <v/>
      </c>
      <c r="H17" s="112">
        <f>IF(D13="Geen verontreiniging",0,IF($D$45="tijd",IF(AND(OR(ISNUMBER($D$49)=FALSE,$D$20+$D$21&lt;$D$49),$D$20+$D$22&gt;$D$47),$D$39*(-1/($D$48+$D$40))*EXP(-($D$46-$D$48)*$D$47)*(EXP(-($D$48+$D$40)*($D$20+$D$21))-EXP(-($D$48+$D$40)*($D$20+$D$22))),IF(OR(ISNUMBER($D$47)=FALSE,$D$20+$D$21&lt;$D$47),$D$39*(-1/($D$40+$D$46))*(EXP(-($D$40+$D$46)*($D$20+$D$21))-EXP(-($D$40+$D$46)*($D$20+$D$22))),IF(AND(OR(ISNUMBER($D$49)=FALSE,$D$20+$D$21&lt;$D$49),$D$20+$D$22&lt;$D$47),$D$39*(-1/($D$40+$D$46))*(EXP(-($D$40+$D$46)*$D$47)-EXP(-($D$40+$D$46)*($D$20+$D$22)))+$D$39*(-1/($D$40+$D$48))*EXP(-($D$46-$D$48)*$D$47)*(EXP(-($D$40+$D$48)*($D$20+$D$21))-EXP(-($D$40+$D$48)*$D$47)),IF(AND($D$20+$D$22&lt;$D$47,$D$20+$D$21&gt;$D$49),$D$39*(-1/($D$40+$D$46))*(EXP(-($D$40+$D$46)*$D$47)-EXP(-($D$40+$D$46)*($D$20+$D$22)))+$D$39*(-1/($D$40+$D$48))*EXP(-($D$46-$D$48)*$D$47)*(EXP(-($D$40+$D$48)*$D$49)-EXP(-($D$40+$D$48)*$D$47))+$D$39*(-1/($D$40+$D$50))*EXP(-($D$46-$D$48)*$D$47)*EXP(-($D$48-$D$50)*$D$49)*(EXP(-($D$50+$D$40)*($D$20+$D$21))-EXP(-($D$40+$D$48)*$D$49)),IF(AND($D$20+$D$22&lt;$D$49,$D$20+$D$21&gt;$D$49),$D$39*(-1/($D$40+$D$48))*EXP(-($D$46-$D$48)*$D$47)*(EXP(-($D$40+$D$48)*$D$49)-EXP(-($D$40+$D$48)*($D$20+$D$22)))+D44*(-1/($D$40+$D$50))*EXP(-($D$46-$D$48)*$D$47)*EXP(-($D$48-$D$50)*$D$49)*(EXP(-($D$50+$D$40)*($D$20+$D$21))-EXP(-($D$40+$D$48)*$D$49)),$D$39*(-1/($D$40+$D$50))*EXP(-($D$46-$D$48)*$D$47)*EXP(-($D$48-$D$50)*$D$49)*(EXP(-($D$50+$D$40)*($D$20+$D$21))-EXP(-($D$40+$D$48)*($D$20+$D$22)))))))),IF($D$51="",IF($D$49="",$D$39*(-1/($D$46+$D$40))*(EXP(-($D$46+$D$40)*($D$20+$D$21))-EXP(-($D$46+$D$40)*($D$20+$D$22))),$D$39*$D$47*(-1/($D$46+$D$40))*(EXP(-($D$46+$D$40)*($D$20+$D$21))-EXP(-($D$46+$D$40)*($D$20+$D$22)))+$D$39*$D$49*(-1/($D$48+$D$40))*(EXP(-($D$48+$D$40)*($D$20+$D$21))-EXP(-($D$48+$D$40)*($D$20+$D$22)))),$D$39*$D$47*(-1/($D$46+$D$40))*(EXP(-($D$46+$D$40)*($D$20+$D$21))-EXP(-($D$46+$D$40)*($D$20+$D$22)))+$D$39*$D$49*(-1/($D$48+$D$40))*(EXP(-($D$48+$D$40)*($D$20+$D$21))-EXP(-($D$48+$D$40)*($D$20+$D$22)))+$D$39*$D$51*(-1/($D$50+$D$40))*(EXP(-($D$50+$D$40)*($D$20+$D$21))-EXP(-($D$50+$D$40)*($D$20+$D$22))))))</f>
        <v>0</v>
      </c>
      <c r="I17" s="100" t="str">
        <f>IF($D$13="Geen verontreiniging","","GBq h")</f>
        <v/>
      </c>
      <c r="J17" s="98"/>
      <c r="K17" s="120" t="str">
        <f>Scenario!$A16</f>
        <v>Lezen</v>
      </c>
      <c r="L17" s="121">
        <f t="shared" si="1"/>
        <v>0</v>
      </c>
      <c r="M17" s="122">
        <f t="shared" si="2"/>
        <v>0</v>
      </c>
      <c r="N17" s="122">
        <f t="shared" si="3"/>
        <v>0</v>
      </c>
      <c r="O17" s="123">
        <f t="shared" si="4"/>
        <v>0</v>
      </c>
      <c r="P17" s="98"/>
      <c r="Q17" s="107" t="str">
        <f>Scenario!$A16</f>
        <v>Lezen</v>
      </c>
      <c r="R17" s="125">
        <f>Scenario!$D16</f>
        <v>3.4</v>
      </c>
      <c r="S17" s="129">
        <f>Scenario!$F16</f>
        <v>0</v>
      </c>
      <c r="T17" s="121">
        <f>IF(Scenario!K16="nee",0,($H$10*$D$29*$D$27+$H$11*$D$36*$D$34+$H$12*$D$43*$D$41)*($R17/168)*(1/($S17*$S17))*$D$25)</f>
        <v>0</v>
      </c>
      <c r="U17" s="122">
        <f>IF(Scenario!L16="nee",0,($H$10*$D$29*$D$27+$H$11*$D$36*$D$34+$H$12*$D$43*$D$41)*($R17/168)*(1/($S17*$S17))*$D$25)</f>
        <v>0</v>
      </c>
      <c r="V17" s="122">
        <f>IF(Scenario!M16="nee",0,($H$10*$D$29*$D$27+$H$11*$D$36*$D$34+$H$12*$D$43*$D$41)*($R17/168)*(1/($S17*$S17))*$D$25)</f>
        <v>0</v>
      </c>
      <c r="W17" s="123">
        <f>IF(Scenario!N16="nee",0,($H$10*$D$29*$D$27+$H$11*$D$36*$D$34+$H$12*$D$43*$D$41)*($R17/168)*(1/($S17*$S17))*$D$25)</f>
        <v>0</v>
      </c>
      <c r="X17" s="98"/>
      <c r="Y17" s="107" t="str">
        <f>Scenario!$A16</f>
        <v>Lezen</v>
      </c>
      <c r="Z17" s="125">
        <f>Scenario!$C16</f>
        <v>3.4</v>
      </c>
      <c r="AA17" s="129">
        <f>Scenario!$E16</f>
        <v>0</v>
      </c>
      <c r="AB17" s="121">
        <f>IF(Scenario!G16="nee",0,($H$15*$D$29*$D$27+$H$16*$D$36*$D$34+$H$17*$D$43*$D$41)*($Z17/168)*(1/($AA17*$AA17))*$D$25)</f>
        <v>0</v>
      </c>
      <c r="AC17" s="122">
        <f>IF(Scenario!H16="nee",0,($H$15*$D$29*$D$27+$H$16*$D$36*$D$34+$H$17*$D$43*$D$41)*($Z17/168)*(1/($AA17*$AA17))*$D$25)</f>
        <v>0</v>
      </c>
      <c r="AD17" s="122">
        <f>IF(Scenario!I16="nee",0,($H$15*$D$29*$D$27+$H$16*$D$36*$D$34+$H$17*$D$43*$D$41)*($Z17/168)*(1/($AA17*$AA17))*$D$25)</f>
        <v>0</v>
      </c>
      <c r="AE17" s="123">
        <f>IF(Scenario!J16="nee",0,($H$15*$D$29*$D$27+$H$16*$D$36*$D$34+$H$17*$D$43*$D$41)*($Z17/168)*(1/($AA17*$AA17))*$D$25)</f>
        <v>0</v>
      </c>
    </row>
    <row r="18" spans="1:31" x14ac:dyDescent="0.2">
      <c r="A18" s="99"/>
      <c r="B18" s="98"/>
      <c r="C18" s="100" t="s">
        <v>0</v>
      </c>
      <c r="D18" s="133" t="str">
        <f>D2</f>
        <v>I-131 benigne (0,4 GBq)</v>
      </c>
      <c r="E18" s="100"/>
      <c r="F18" s="98"/>
      <c r="G18" s="98"/>
      <c r="H18" s="98"/>
      <c r="I18" s="98"/>
      <c r="J18" s="98"/>
      <c r="K18" s="120" t="str">
        <f>Scenario!$A17</f>
        <v>Kijken (media)</v>
      </c>
      <c r="L18" s="121">
        <f t="shared" si="1"/>
        <v>59.874039426279943</v>
      </c>
      <c r="M18" s="122">
        <f t="shared" si="2"/>
        <v>59.874039426279943</v>
      </c>
      <c r="N18" s="122">
        <f t="shared" si="3"/>
        <v>59.874039426279943</v>
      </c>
      <c r="O18" s="123">
        <f t="shared" si="4"/>
        <v>59.874039426279943</v>
      </c>
      <c r="P18" s="98"/>
      <c r="Q18" s="107" t="str">
        <f>Scenario!$A17</f>
        <v>Kijken (media)</v>
      </c>
      <c r="R18" s="131">
        <f>Scenario!$D17</f>
        <v>14.1</v>
      </c>
      <c r="S18" s="126">
        <f>Scenario!$F17</f>
        <v>2</v>
      </c>
      <c r="T18" s="121">
        <f>IF(Scenario!K17="nee",0,($H$10*$D$29*$D$27+$H$11*$D$36*$D$34+$H$12*$D$43*$D$41)*($R18/168)*(1/($S18*$S18))*$D$25)</f>
        <v>32.113587797445227</v>
      </c>
      <c r="U18" s="122">
        <f>IF(Scenario!L17="nee",0,($H$10*$D$29*$D$27+$H$11*$D$36*$D$34+$H$12*$D$43*$D$41)*($R18/168)*(1/($S18*$S18))*$D$25)</f>
        <v>32.113587797445227</v>
      </c>
      <c r="V18" s="122">
        <f>IF(Scenario!M17="nee",0,($H$10*$D$29*$D$27+$H$11*$D$36*$D$34+$H$12*$D$43*$D$41)*($R18/168)*(1/($S18*$S18))*$D$25)</f>
        <v>32.113587797445227</v>
      </c>
      <c r="W18" s="123">
        <f>IF(Scenario!N17="nee",0,($H$10*$D$29*$D$27+$H$11*$D$36*$D$34+$H$12*$D$43*$D$41)*($R18/168)*(1/($S18*$S18))*$D$25)</f>
        <v>32.113587797445227</v>
      </c>
      <c r="X18" s="98"/>
      <c r="Y18" s="107" t="str">
        <f>Scenario!$A17</f>
        <v>Kijken (media)</v>
      </c>
      <c r="Z18" s="131">
        <f>Scenario!$C17</f>
        <v>14.1</v>
      </c>
      <c r="AA18" s="126">
        <f>Scenario!$E17</f>
        <v>1.5</v>
      </c>
      <c r="AB18" s="121">
        <f>IF(Scenario!G17="nee",0,($H$15*$D$29*$D$27+$H$16*$D$36*$D$34+$H$17*$D$43*$D$41)*($Z18/168)*(1/($AA18*$AA18))*$D$25)</f>
        <v>27.760451628834716</v>
      </c>
      <c r="AC18" s="122">
        <f>IF(Scenario!H17="nee",0,($H$15*$D$29*$D$27+$H$16*$D$36*$D$34+$H$17*$D$43*$D$41)*($Z18/168)*(1/($AA18*$AA18))*$D$25)</f>
        <v>27.760451628834716</v>
      </c>
      <c r="AD18" s="122">
        <f>IF(Scenario!I17="nee",0,($H$15*$D$29*$D$27+$H$16*$D$36*$D$34+$H$17*$D$43*$D$41)*($Z18/168)*(1/($AA18*$AA18))*$D$25)</f>
        <v>27.760451628834716</v>
      </c>
      <c r="AE18" s="123">
        <f>IF(Scenario!J17="nee",0,($H$15*$D$29*$D$27+$H$16*$D$36*$D$34+$H$17*$D$43*$D$41)*($Z18/168)*(1/($AA18*$AA18))*$D$25)</f>
        <v>27.760451628834716</v>
      </c>
    </row>
    <row r="19" spans="1:31" ht="12.75" x14ac:dyDescent="0.2">
      <c r="A19" s="99"/>
      <c r="B19" s="98"/>
      <c r="C19" s="100" t="s">
        <v>13</v>
      </c>
      <c r="D19" s="133" t="str">
        <f>IF(D3="Ontslagcriterium",D4,"")</f>
        <v/>
      </c>
      <c r="E19" s="100" t="s">
        <v>166</v>
      </c>
      <c r="F19" s="98"/>
      <c r="G19" s="98"/>
      <c r="H19" s="98"/>
      <c r="I19" s="98"/>
      <c r="J19" s="98"/>
      <c r="K19" s="120" t="str">
        <f>Scenario!$A18</f>
        <v>Sportbeoefening</v>
      </c>
      <c r="L19" s="121">
        <f t="shared" si="1"/>
        <v>0</v>
      </c>
      <c r="M19" s="122">
        <f t="shared" si="2"/>
        <v>0</v>
      </c>
      <c r="N19" s="122">
        <f t="shared" si="3"/>
        <v>0</v>
      </c>
      <c r="O19" s="123">
        <f t="shared" si="4"/>
        <v>0</v>
      </c>
      <c r="P19" s="98"/>
      <c r="Q19" s="124" t="str">
        <f>Scenario!$A18</f>
        <v>Sportbeoefening</v>
      </c>
      <c r="R19" s="132">
        <f>Scenario!$D18</f>
        <v>1.7</v>
      </c>
      <c r="S19" s="128">
        <f>Scenario!$F18</f>
        <v>0</v>
      </c>
      <c r="T19" s="121">
        <f>IF(Scenario!K18="nee",0,($H$10*$D$29*$D$27+$H$11*$D$36*$D$34+$H$12*$D$43*$D$41)*($R19/168)*(1/($S19*$S19))*$D$25)</f>
        <v>0</v>
      </c>
      <c r="U19" s="122">
        <f>IF(Scenario!L18="nee",0,($H$10*$D$29*$D$27+$H$11*$D$36*$D$34+$H$12*$D$43*$D$41)*($R19/168)*(1/($S19*$S19))*$D$25)</f>
        <v>0</v>
      </c>
      <c r="V19" s="122">
        <f>IF(Scenario!M18="nee",0,($H$10*$D$29*$D$27+$H$11*$D$36*$D$34+$H$12*$D$43*$D$41)*($R19/168)*(1/($S19*$S19))*$D$25)</f>
        <v>0</v>
      </c>
      <c r="W19" s="123">
        <f>IF(Scenario!N18="nee",0,($H$10*$D$29*$D$27+$H$11*$D$36*$D$34+$H$12*$D$43*$D$41)*($R19/168)*(1/($S19*$S19))*$D$25)</f>
        <v>0</v>
      </c>
      <c r="X19" s="98"/>
      <c r="Y19" s="124" t="str">
        <f>Scenario!$A18</f>
        <v>Sportbeoefening</v>
      </c>
      <c r="Z19" s="132">
        <f>Scenario!$C18</f>
        <v>1.7</v>
      </c>
      <c r="AA19" s="128">
        <f>Scenario!$E18</f>
        <v>0</v>
      </c>
      <c r="AB19" s="121">
        <f>IF(Scenario!G18="nee",0,($H$15*$D$29*$D$27+$H$16*$D$36*$D$34+$H$17*$D$43*$D$41)*($Z19/168)*(1/($AA19*$AA19))*$D$25)</f>
        <v>0</v>
      </c>
      <c r="AC19" s="122">
        <f>IF(Scenario!H18="nee",0,($H$15*$D$29*$D$27+$H$16*$D$36*$D$34+$H$17*$D$43*$D$41)*($Z19/168)*(1/($AA19*$AA19))*$D$25)</f>
        <v>0</v>
      </c>
      <c r="AD19" s="122">
        <f>IF(Scenario!I18="nee",0,($H$15*$D$29*$D$27+$H$16*$D$36*$D$34+$H$17*$D$43*$D$41)*($Z19/168)*(1/($AA19*$AA19))*$D$25)</f>
        <v>0</v>
      </c>
      <c r="AE19" s="123">
        <f>IF(Scenario!J18="nee",0,($H$15*$D$29*$D$27+$H$16*$D$36*$D$34+$H$17*$D$43*$D$41)*($Z19/168)*(1/($AA19*$AA19))*$D$25)</f>
        <v>0</v>
      </c>
    </row>
    <row r="20" spans="1:31" x14ac:dyDescent="0.2">
      <c r="A20" s="99"/>
      <c r="B20" s="98"/>
      <c r="C20" s="100" t="s">
        <v>6</v>
      </c>
      <c r="D20" s="134">
        <f>IF(D3="Nee",0,IF(D5="",0,MAX(0,D5)))</f>
        <v>0</v>
      </c>
      <c r="E20" s="100" t="s">
        <v>28</v>
      </c>
      <c r="F20" s="98"/>
      <c r="G20" s="98"/>
      <c r="H20" s="98"/>
      <c r="I20" s="98"/>
      <c r="J20" s="98"/>
      <c r="K20" s="120" t="str">
        <f>Scenario!$A19</f>
        <v>Sportwedstrijdbezoek</v>
      </c>
      <c r="L20" s="121">
        <f t="shared" si="1"/>
        <v>0</v>
      </c>
      <c r="M20" s="122">
        <f t="shared" si="2"/>
        <v>5.4160387902030935</v>
      </c>
      <c r="N20" s="122">
        <f t="shared" si="3"/>
        <v>5.4160387902030935</v>
      </c>
      <c r="O20" s="123">
        <f t="shared" si="4"/>
        <v>5.4160387902030935</v>
      </c>
      <c r="P20" s="98"/>
      <c r="Q20" s="124" t="str">
        <f>Scenario!$A19</f>
        <v>Sportwedstrijdbezoek</v>
      </c>
      <c r="R20" s="125">
        <f>Scenario!$D19</f>
        <v>0.1</v>
      </c>
      <c r="S20" s="128">
        <f>Scenario!$F19</f>
        <v>0.5</v>
      </c>
      <c r="T20" s="121">
        <f>IF(Scenario!K19="nee",0,($H$10*$D$29*$D$27+$H$11*$D$36*$D$34+$H$12*$D$43*$D$41)*($R20/168)*(1/($S20*$S20))*$D$25)</f>
        <v>0</v>
      </c>
      <c r="U20" s="122">
        <f>IF(Scenario!L19="nee",0,($H$10*$D$29*$D$27+$H$11*$D$36*$D$34+$H$12*$D$43*$D$41)*($R20/168)*(1/($S20*$S20))*$D$25)</f>
        <v>3.6440950692136433</v>
      </c>
      <c r="V20" s="122">
        <f>IF(Scenario!M19="nee",0,($H$10*$D$29*$D$27+$H$11*$D$36*$D$34+$H$12*$D$43*$D$41)*($R20/168)*(1/($S20*$S20))*$D$25)</f>
        <v>3.6440950692136433</v>
      </c>
      <c r="W20" s="123">
        <f>IF(Scenario!N19="nee",0,($H$10*$D$29*$D$27+$H$11*$D$36*$D$34+$H$12*$D$43*$D$41)*($R20/168)*(1/($S20*$S20))*$D$25)</f>
        <v>3.6440950692136433</v>
      </c>
      <c r="X20" s="98"/>
      <c r="Y20" s="124" t="str">
        <f>Scenario!$A19</f>
        <v>Sportwedstrijdbezoek</v>
      </c>
      <c r="Z20" s="125">
        <f>Scenario!$C19</f>
        <v>0.1</v>
      </c>
      <c r="AA20" s="128">
        <f>Scenario!$E19</f>
        <v>0.5</v>
      </c>
      <c r="AB20" s="121">
        <f>IF(Scenario!G19="nee",0,($H$15*$D$29*$D$27+$H$16*$D$36*$D$34+$H$17*$D$43*$D$41)*($Z20/168)*(1/($AA20*$AA20))*$D$25)</f>
        <v>0</v>
      </c>
      <c r="AC20" s="122">
        <f>IF(Scenario!H19="nee",0,($H$15*$D$29*$D$27+$H$16*$D$36*$D$34+$H$17*$D$43*$D$41)*($Z20/168)*(1/($AA20*$AA20))*$D$25)</f>
        <v>1.7719437209894502</v>
      </c>
      <c r="AD20" s="122">
        <f>IF(Scenario!I19="nee",0,($H$15*$D$29*$D$27+$H$16*$D$36*$D$34+$H$17*$D$43*$D$41)*($Z20/168)*(1/($AA20*$AA20))*$D$25)</f>
        <v>1.7719437209894502</v>
      </c>
      <c r="AE20" s="123">
        <f>IF(Scenario!J19="nee",0,($H$15*$D$29*$D$27+$H$16*$D$36*$D$34+$H$17*$D$43*$D$41)*($Z20/168)*(1/($AA20*$AA20))*$D$25)</f>
        <v>1.7719437209894502</v>
      </c>
    </row>
    <row r="21" spans="1:31" x14ac:dyDescent="0.2">
      <c r="A21" s="99"/>
      <c r="B21" s="98"/>
      <c r="C21" s="100" t="s">
        <v>17</v>
      </c>
      <c r="D21" s="133">
        <f>D6*24</f>
        <v>504</v>
      </c>
      <c r="E21" s="100" t="s">
        <v>29</v>
      </c>
      <c r="F21" s="98"/>
      <c r="G21" s="98"/>
      <c r="H21" s="98"/>
      <c r="I21" s="98"/>
      <c r="J21" s="98"/>
      <c r="K21" s="120" t="str">
        <f>Scenario!$A20</f>
        <v>Amateurkunstbeoefening</v>
      </c>
      <c r="L21" s="121">
        <f t="shared" si="1"/>
        <v>0</v>
      </c>
      <c r="M21" s="122">
        <f t="shared" si="2"/>
        <v>21.664155160812374</v>
      </c>
      <c r="N21" s="122">
        <f t="shared" si="3"/>
        <v>21.664155160812374</v>
      </c>
      <c r="O21" s="123">
        <f t="shared" si="4"/>
        <v>21.664155160812374</v>
      </c>
      <c r="P21" s="98"/>
      <c r="Q21" s="124" t="str">
        <f>Scenario!$A20</f>
        <v>Amateurkunstbeoefening</v>
      </c>
      <c r="R21" s="131">
        <f>Scenario!$D20</f>
        <v>0.4</v>
      </c>
      <c r="S21" s="128">
        <f>Scenario!$F20</f>
        <v>0.5</v>
      </c>
      <c r="T21" s="121">
        <f>IF(Scenario!K20="nee",0,($H$10*$D$29*$D$27+$H$11*$D$36*$D$34+$H$12*$D$43*$D$41)*($R21/168)*(1/($S21*$S21))*$D$25)</f>
        <v>0</v>
      </c>
      <c r="U21" s="122">
        <f>IF(Scenario!L20="nee",0,($H$10*$D$29*$D$27+$H$11*$D$36*$D$34+$H$12*$D$43*$D$41)*($R21/168)*(1/($S21*$S21))*$D$25)</f>
        <v>14.576380276854573</v>
      </c>
      <c r="V21" s="122">
        <f>IF(Scenario!M20="nee",0,($H$10*$D$29*$D$27+$H$11*$D$36*$D$34+$H$12*$D$43*$D$41)*($R21/168)*(1/($S21*$S21))*$D$25)</f>
        <v>14.576380276854573</v>
      </c>
      <c r="W21" s="123">
        <f>IF(Scenario!N20="nee",0,($H$10*$D$29*$D$27+$H$11*$D$36*$D$34+$H$12*$D$43*$D$41)*($R21/168)*(1/($S21*$S21))*$D$25)</f>
        <v>14.576380276854573</v>
      </c>
      <c r="X21" s="98"/>
      <c r="Y21" s="124" t="str">
        <f>Scenario!$A20</f>
        <v>Amateurkunstbeoefening</v>
      </c>
      <c r="Z21" s="131">
        <f>Scenario!$C20</f>
        <v>0.4</v>
      </c>
      <c r="AA21" s="128">
        <f>Scenario!$E20</f>
        <v>0.5</v>
      </c>
      <c r="AB21" s="121">
        <f>IF(Scenario!G20="nee",0,($H$15*$D$29*$D$27+$H$16*$D$36*$D$34+$H$17*$D$43*$D$41)*($Z21/168)*(1/($AA21*$AA21))*$D$25)</f>
        <v>0</v>
      </c>
      <c r="AC21" s="122">
        <f>IF(Scenario!H20="nee",0,($H$15*$D$29*$D$27+$H$16*$D$36*$D$34+$H$17*$D$43*$D$41)*($Z21/168)*(1/($AA21*$AA21))*$D$25)</f>
        <v>7.0877748839578008</v>
      </c>
      <c r="AD21" s="122">
        <f>IF(Scenario!I20="nee",0,($H$15*$D$29*$D$27+$H$16*$D$36*$D$34+$H$17*$D$43*$D$41)*($Z21/168)*(1/($AA21*$AA21))*$D$25)</f>
        <v>7.0877748839578008</v>
      </c>
      <c r="AE21" s="123">
        <f>IF(Scenario!J20="nee",0,($H$15*$D$29*$D$27+$H$16*$D$36*$D$34+$H$17*$D$43*$D$41)*($Z21/168)*(1/($AA21*$AA21))*$D$25)</f>
        <v>7.0877748839578008</v>
      </c>
    </row>
    <row r="22" spans="1:31" x14ac:dyDescent="0.2">
      <c r="A22" s="99"/>
      <c r="B22" s="98"/>
      <c r="C22" s="100" t="s">
        <v>19</v>
      </c>
      <c r="D22" s="133">
        <f>IF(ISNUMBER(D7)=FALSE,0,IF(D7&gt;(D21/24),D21,24*D7))</f>
        <v>168</v>
      </c>
      <c r="E22" s="100" t="s">
        <v>29</v>
      </c>
      <c r="F22" s="98"/>
      <c r="G22" s="98"/>
      <c r="H22" s="98"/>
      <c r="I22" s="98"/>
      <c r="J22" s="98"/>
      <c r="K22" s="120" t="str">
        <f>Scenario!$A21</f>
        <v>Cultuurbezoek</v>
      </c>
      <c r="L22" s="121">
        <f t="shared" si="1"/>
        <v>0</v>
      </c>
      <c r="M22" s="122">
        <f t="shared" si="2"/>
        <v>21.664155160812374</v>
      </c>
      <c r="N22" s="122">
        <f t="shared" si="3"/>
        <v>21.664155160812374</v>
      </c>
      <c r="O22" s="123">
        <f t="shared" si="4"/>
        <v>21.664155160812374</v>
      </c>
      <c r="P22" s="98"/>
      <c r="Q22" s="130" t="str">
        <f>Scenario!$A21</f>
        <v>Cultuurbezoek</v>
      </c>
      <c r="R22" s="132">
        <f>Scenario!$D21</f>
        <v>0.4</v>
      </c>
      <c r="S22" s="128">
        <f>Scenario!$F21</f>
        <v>0.5</v>
      </c>
      <c r="T22" s="121">
        <f>IF(Scenario!K21="nee",0,($H$10*$D$29*$D$27+$H$11*$D$36*$D$34+$H$12*$D$43*$D$41)*($R22/168)*(1/($S22*$S22))*$D$25)</f>
        <v>0</v>
      </c>
      <c r="U22" s="122">
        <f>IF(Scenario!L21="nee",0,($H$10*$D$29*$D$27+$H$11*$D$36*$D$34+$H$12*$D$43*$D$41)*($R22/168)*(1/($S22*$S22))*$D$25)</f>
        <v>14.576380276854573</v>
      </c>
      <c r="V22" s="122">
        <f>IF(Scenario!M21="nee",0,($H$10*$D$29*$D$27+$H$11*$D$36*$D$34+$H$12*$D$43*$D$41)*($R22/168)*(1/($S22*$S22))*$D$25)</f>
        <v>14.576380276854573</v>
      </c>
      <c r="W22" s="123">
        <f>IF(Scenario!N21="nee",0,($H$10*$D$29*$D$27+$H$11*$D$36*$D$34+$H$12*$D$43*$D$41)*($R22/168)*(1/($S22*$S22))*$D$25)</f>
        <v>14.576380276854573</v>
      </c>
      <c r="X22" s="98"/>
      <c r="Y22" s="130" t="str">
        <f>Scenario!$A21</f>
        <v>Cultuurbezoek</v>
      </c>
      <c r="Z22" s="132">
        <f>Scenario!$C21</f>
        <v>0.4</v>
      </c>
      <c r="AA22" s="128">
        <f>Scenario!$E21</f>
        <v>0.5</v>
      </c>
      <c r="AB22" s="121">
        <f>IF(Scenario!G21="nee",0,($H$15*$D$29*$D$27+$H$16*$D$36*$D$34+$H$17*$D$43*$D$41)*($Z22/168)*(1/($AA22*$AA22))*$D$25)</f>
        <v>0</v>
      </c>
      <c r="AC22" s="122">
        <f>IF(Scenario!H21="nee",0,($H$15*$D$29*$D$27+$H$16*$D$36*$D$34+$H$17*$D$43*$D$41)*($Z22/168)*(1/($AA22*$AA22))*$D$25)</f>
        <v>7.0877748839578008</v>
      </c>
      <c r="AD22" s="122">
        <f>IF(Scenario!I21="nee",0,($H$15*$D$29*$D$27+$H$16*$D$36*$D$34+$H$17*$D$43*$D$41)*($Z22/168)*(1/($AA22*$AA22))*$D$25)</f>
        <v>7.0877748839578008</v>
      </c>
      <c r="AE22" s="123">
        <f>IF(Scenario!J21="nee",0,($H$15*$D$29*$D$27+$H$16*$D$36*$D$34+$H$17*$D$43*$D$41)*($Z22/168)*(1/($AA22*$AA22))*$D$25)</f>
        <v>7.0877748839578008</v>
      </c>
    </row>
    <row r="23" spans="1:31" x14ac:dyDescent="0.2">
      <c r="A23" s="99"/>
      <c r="B23" s="98"/>
      <c r="C23" s="100" t="s">
        <v>21</v>
      </c>
      <c r="D23" s="133">
        <f>IF(D8="",30,D8)</f>
        <v>30</v>
      </c>
      <c r="E23" s="100" t="s">
        <v>22</v>
      </c>
      <c r="F23" s="98"/>
      <c r="G23" s="98"/>
      <c r="H23" s="98"/>
      <c r="I23" s="98"/>
      <c r="J23" s="98"/>
      <c r="K23" s="120" t="str">
        <f>Scenario!$A22</f>
        <v>Vrijwilligerswerk</v>
      </c>
      <c r="L23" s="121">
        <f t="shared" si="1"/>
        <v>4.6710243524048192</v>
      </c>
      <c r="M23" s="122">
        <f t="shared" si="2"/>
        <v>4.6710243524048192</v>
      </c>
      <c r="N23" s="122">
        <f t="shared" si="3"/>
        <v>4.6710243524048192</v>
      </c>
      <c r="O23" s="123">
        <f t="shared" si="4"/>
        <v>4.6710243524048192</v>
      </c>
      <c r="P23" s="98"/>
      <c r="Q23" s="124" t="str">
        <f>Scenario!$A22</f>
        <v>Vrijwilligerswerk</v>
      </c>
      <c r="R23" s="132">
        <f>Scenario!$D22</f>
        <v>1.1000000000000001</v>
      </c>
      <c r="S23" s="128">
        <f>Scenario!$F22</f>
        <v>2</v>
      </c>
      <c r="T23" s="121">
        <f>IF(Scenario!K22="nee",0,($H$10*$D$29*$D$27+$H$11*$D$36*$D$34+$H$12*$D$43*$D$41)*($R23/168)*(1/($S23*$S23))*$D$25)</f>
        <v>2.5053153600843796</v>
      </c>
      <c r="U23" s="122">
        <f>IF(Scenario!L22="nee",0,($H$10*$D$29*$D$27+$H$11*$D$36*$D$34+$H$12*$D$43*$D$41)*($R23/168)*(1/($S23*$S23))*$D$25)</f>
        <v>2.5053153600843796</v>
      </c>
      <c r="V23" s="122">
        <f>IF(Scenario!M22="nee",0,($H$10*$D$29*$D$27+$H$11*$D$36*$D$34+$H$12*$D$43*$D$41)*($R23/168)*(1/($S23*$S23))*$D$25)</f>
        <v>2.5053153600843796</v>
      </c>
      <c r="W23" s="123">
        <f>IF(Scenario!N22="nee",0,($H$10*$D$29*$D$27+$H$11*$D$36*$D$34+$H$12*$D$43*$D$41)*($R23/168)*(1/($S23*$S23))*$D$25)</f>
        <v>2.5053153600843796</v>
      </c>
      <c r="X23" s="98"/>
      <c r="Y23" s="124" t="str">
        <f>Scenario!$A22</f>
        <v>Vrijwilligerswerk</v>
      </c>
      <c r="Z23" s="132">
        <f>Scenario!$C22</f>
        <v>1.1000000000000001</v>
      </c>
      <c r="AA23" s="128">
        <f>Scenario!$E22</f>
        <v>1.5</v>
      </c>
      <c r="AB23" s="121">
        <f>IF(Scenario!G22="nee",0,($H$15*$D$29*$D$27+$H$16*$D$36*$D$34+$H$17*$D$43*$D$41)*($Z23/168)*(1/($AA23*$AA23))*$D$25)</f>
        <v>2.1657089923204391</v>
      </c>
      <c r="AC23" s="122">
        <f>IF(Scenario!H22="nee",0,($H$15*$D$29*$D$27+$H$16*$D$36*$D$34+$H$17*$D$43*$D$41)*($Z23/168)*(1/($AA23*$AA23))*$D$25)</f>
        <v>2.1657089923204391</v>
      </c>
      <c r="AD23" s="122">
        <f>IF(Scenario!I22="nee",0,($H$15*$D$29*$D$27+$H$16*$D$36*$D$34+$H$17*$D$43*$D$41)*($Z23/168)*(1/($AA23*$AA23))*$D$25)</f>
        <v>2.1657089923204391</v>
      </c>
      <c r="AE23" s="123">
        <f>IF(Scenario!J22="nee",0,($H$15*$D$29*$D$27+$H$16*$D$36*$D$34+$H$17*$D$43*$D$41)*($Z23/168)*(1/($AA23*$AA23))*$D$25)</f>
        <v>2.1657089923204391</v>
      </c>
    </row>
    <row r="24" spans="1:31" x14ac:dyDescent="0.2">
      <c r="A24" s="99"/>
      <c r="B24" s="98"/>
      <c r="C24" s="100" t="s">
        <v>23</v>
      </c>
      <c r="D24" s="133">
        <f>IF(D9="",VLOOKUP($D$18,Inputparameters!$C$2:$S$100,2,FALSE),D9)</f>
        <v>0.4</v>
      </c>
      <c r="E24" s="100" t="s">
        <v>7</v>
      </c>
      <c r="F24" s="98"/>
      <c r="G24" s="98"/>
      <c r="H24" s="98"/>
      <c r="I24" s="98"/>
      <c r="J24" s="98"/>
      <c r="K24" s="120" t="str">
        <f>Scenario!$A23</f>
        <v>Bijeenkomstenbezoek</v>
      </c>
      <c r="L24" s="121">
        <f t="shared" si="1"/>
        <v>0</v>
      </c>
      <c r="M24" s="122">
        <f t="shared" si="2"/>
        <v>32.496232741218556</v>
      </c>
      <c r="N24" s="122">
        <f t="shared" si="3"/>
        <v>32.496232741218556</v>
      </c>
      <c r="O24" s="123">
        <f t="shared" si="4"/>
        <v>32.496232741218556</v>
      </c>
      <c r="P24" s="98"/>
      <c r="Q24" s="120" t="str">
        <f>Scenario!$A23</f>
        <v>Bijeenkomstenbezoek</v>
      </c>
      <c r="R24" s="125">
        <f>Scenario!$D23</f>
        <v>0.6</v>
      </c>
      <c r="S24" s="128">
        <f>Scenario!$F23</f>
        <v>0.5</v>
      </c>
      <c r="T24" s="121">
        <f>IF(Scenario!K23="nee",0,($H$10*$D$29*$D$27+$H$11*$D$36*$D$34+$H$12*$D$43*$D$41)*($R24/168)*(1/($S24*$S24))*$D$25)</f>
        <v>0</v>
      </c>
      <c r="U24" s="122">
        <f>IF(Scenario!L23="nee",0,($H$10*$D$29*$D$27+$H$11*$D$36*$D$34+$H$12*$D$43*$D$41)*($R24/168)*(1/($S24*$S24))*$D$25)</f>
        <v>21.864570415281857</v>
      </c>
      <c r="V24" s="122">
        <f>IF(Scenario!M23="nee",0,($H$10*$D$29*$D$27+$H$11*$D$36*$D$34+$H$12*$D$43*$D$41)*($R24/168)*(1/($S24*$S24))*$D$25)</f>
        <v>21.864570415281857</v>
      </c>
      <c r="W24" s="123">
        <f>IF(Scenario!N23="nee",0,($H$10*$D$29*$D$27+$H$11*$D$36*$D$34+$H$12*$D$43*$D$41)*($R24/168)*(1/($S24*$S24))*$D$25)</f>
        <v>21.864570415281857</v>
      </c>
      <c r="X24" s="98"/>
      <c r="Y24" s="120" t="str">
        <f>Scenario!$A23</f>
        <v>Bijeenkomstenbezoek</v>
      </c>
      <c r="Z24" s="125">
        <f>Scenario!$C23</f>
        <v>0.6</v>
      </c>
      <c r="AA24" s="128">
        <f>Scenario!$E23</f>
        <v>0.5</v>
      </c>
      <c r="AB24" s="121">
        <f>IF(Scenario!G23="nee",0,($H$15*$D$29*$D$27+$H$16*$D$36*$D$34+$H$17*$D$43*$D$41)*($Z24/168)*(1/($AA24*$AA24))*$D$25)</f>
        <v>0</v>
      </c>
      <c r="AC24" s="122">
        <f>IF(Scenario!H23="nee",0,($H$15*$D$29*$D$27+$H$16*$D$36*$D$34+$H$17*$D$43*$D$41)*($Z24/168)*(1/($AA24*$AA24))*$D$25)</f>
        <v>10.6316623259367</v>
      </c>
      <c r="AD24" s="122">
        <f>IF(Scenario!I23="nee",0,($H$15*$D$29*$D$27+$H$16*$D$36*$D$34+$H$17*$D$43*$D$41)*($Z24/168)*(1/($AA24*$AA24))*$D$25)</f>
        <v>10.6316623259367</v>
      </c>
      <c r="AE24" s="123">
        <f>IF(Scenario!J23="nee",0,($H$15*$D$29*$D$27+$H$16*$D$36*$D$34+$H$17*$D$43*$D$41)*($Z24/168)*(1/($AA24*$AA24))*$D$25)</f>
        <v>10.6316623259367</v>
      </c>
    </row>
    <row r="25" spans="1:31" ht="12" thickBot="1" x14ac:dyDescent="0.25">
      <c r="A25" s="99"/>
      <c r="B25" s="98"/>
      <c r="C25" s="100" t="s">
        <v>127</v>
      </c>
      <c r="D25" s="133">
        <f>IF(D10="",VLOOKUP($D$18,Inputparameters!$C$2:$S$100,3,FALSE),D10)</f>
        <v>1</v>
      </c>
      <c r="E25" s="100"/>
      <c r="F25" s="98"/>
      <c r="G25" s="98"/>
      <c r="H25" s="98"/>
      <c r="I25" s="98"/>
      <c r="J25" s="98"/>
      <c r="K25" s="135" t="str">
        <f>Scenario!$A24</f>
        <v>Niet geboekt</v>
      </c>
      <c r="L25" s="136">
        <f t="shared" si="1"/>
        <v>0</v>
      </c>
      <c r="M25" s="137">
        <f t="shared" si="2"/>
        <v>0</v>
      </c>
      <c r="N25" s="137">
        <f t="shared" si="3"/>
        <v>0</v>
      </c>
      <c r="O25" s="138">
        <f t="shared" si="4"/>
        <v>0</v>
      </c>
      <c r="P25" s="98"/>
      <c r="Q25" s="135" t="str">
        <f>Scenario!$A24</f>
        <v>Niet geboekt</v>
      </c>
      <c r="R25" s="139">
        <f>Scenario!$D24</f>
        <v>3.5</v>
      </c>
      <c r="S25" s="140">
        <f>Scenario!$F24</f>
        <v>0</v>
      </c>
      <c r="T25" s="136">
        <f>IF(Scenario!K24="nee",0,($H$10*$D$29*$D$27+$H$11*$D$36*$D$34+$H$12*$D$43*$D$41)*($R25/168)*(1/($S25*$S25))*$D$25)</f>
        <v>0</v>
      </c>
      <c r="U25" s="137">
        <f>IF(Scenario!L24="nee",0,($H$10*$D$29*$D$27+$H$11*$D$36*$D$34+$H$12*$D$43*$D$41)*($R25/168)*(1/($S25*$S25))*$D$25)</f>
        <v>0</v>
      </c>
      <c r="V25" s="137">
        <f>IF(Scenario!M24="nee",0,($H$10*$D$29*$D$27+$H$11*$D$36*$D$34+$H$12*$D$43*$D$41)*($R25/168)*(1/($S25*$S25))*$D$25)</f>
        <v>0</v>
      </c>
      <c r="W25" s="138">
        <f>IF(Scenario!N24="nee",0,($H$10*$D$29*$D$27+$H$11*$D$36*$D$34+$H$12*$D$43*$D$41)*($R25/168)*(1/($S25*$S25))*$D$25)</f>
        <v>0</v>
      </c>
      <c r="X25" s="98"/>
      <c r="Y25" s="135" t="str">
        <f>Scenario!$A24</f>
        <v>Niet geboekt</v>
      </c>
      <c r="Z25" s="139">
        <f>Scenario!$C24</f>
        <v>3.5</v>
      </c>
      <c r="AA25" s="140">
        <f>Scenario!$E24</f>
        <v>0</v>
      </c>
      <c r="AB25" s="136">
        <f>IF(Scenario!G24="nee",0,($H$15*$D$29*$D$27+$H$16*$D$36*$D$34+$H$17*$D$43*$D$41)*($Z25/168)*(1/($AA25*$AA25))*$D$25)</f>
        <v>0</v>
      </c>
      <c r="AC25" s="137">
        <f>IF(Scenario!H24="nee",0,($H$15*$D$29*$D$27+$H$16*$D$36*$D$34+$H$17*$D$43*$D$41)*($Z25/168)*(1/($AA25*$AA25))*$D$25)</f>
        <v>0</v>
      </c>
      <c r="AD25" s="137">
        <f>IF(Scenario!I24="nee",0,($H$15*$D$29*$D$27+$H$16*$D$36*$D$34+$H$17*$D$43*$D$41)*($Z25/168)*(1/($AA25*$AA25))*$D$25)</f>
        <v>0</v>
      </c>
      <c r="AE25" s="138">
        <f>IF(Scenario!J24="nee",0,($H$15*$D$29*$D$27+$H$16*$D$36*$D$34+$H$17*$D$43*$D$41)*($Z25/168)*(1/($AA25*$AA25))*$D$25)</f>
        <v>0</v>
      </c>
    </row>
    <row r="26" spans="1:31" ht="14.25" thickBot="1" x14ac:dyDescent="0.3">
      <c r="A26" s="99"/>
      <c r="B26" s="98"/>
      <c r="C26" s="141" t="s">
        <v>168</v>
      </c>
      <c r="D26" s="112">
        <f>VLOOKUP($D$18,Inputparameters!$C$2:$S$100,4,FALSE)</f>
        <v>3.6007645743373782E-3</v>
      </c>
      <c r="E26" s="100" t="s">
        <v>198</v>
      </c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142"/>
      <c r="R26" s="142"/>
      <c r="S26" s="142"/>
      <c r="T26" s="142"/>
      <c r="U26" s="142"/>
      <c r="V26" s="142"/>
      <c r="W26" s="142"/>
      <c r="X26" s="98"/>
      <c r="Y26" s="98"/>
      <c r="Z26" s="98"/>
      <c r="AA26" s="98"/>
      <c r="AB26" s="98"/>
      <c r="AC26" s="98"/>
      <c r="AD26" s="98"/>
      <c r="AE26" s="98"/>
    </row>
    <row r="27" spans="1:31" ht="13.5" x14ac:dyDescent="0.25">
      <c r="A27" s="99"/>
      <c r="B27" s="98"/>
      <c r="C27" s="100" t="s">
        <v>169</v>
      </c>
      <c r="D27" s="143">
        <f>VLOOKUP($D$18,Inputparameters!$C$2:$S$100,5,FALSE)</f>
        <v>67</v>
      </c>
      <c r="E27" s="100" t="s">
        <v>170</v>
      </c>
      <c r="F27" s="98"/>
      <c r="G27" s="98"/>
      <c r="H27" s="98"/>
      <c r="I27" s="144"/>
      <c r="J27" s="98"/>
      <c r="K27" s="145"/>
      <c r="L27" s="200" t="s">
        <v>193</v>
      </c>
      <c r="M27" s="201"/>
      <c r="N27" s="201"/>
      <c r="O27" s="202"/>
      <c r="P27" s="98"/>
      <c r="Q27" s="142"/>
      <c r="R27" s="98"/>
      <c r="S27" s="146"/>
      <c r="T27" s="200" t="s">
        <v>193</v>
      </c>
      <c r="U27" s="201"/>
      <c r="V27" s="201"/>
      <c r="W27" s="202"/>
      <c r="X27" s="98"/>
      <c r="Y27" s="98"/>
      <c r="Z27" s="98"/>
      <c r="AA27" s="98"/>
      <c r="AB27" s="200" t="s">
        <v>193</v>
      </c>
      <c r="AC27" s="201"/>
      <c r="AD27" s="201"/>
      <c r="AE27" s="202"/>
    </row>
    <row r="28" spans="1:31" ht="13.5" x14ac:dyDescent="0.25">
      <c r="A28" s="99"/>
      <c r="B28" s="98"/>
      <c r="C28" s="100" t="s">
        <v>171</v>
      </c>
      <c r="D28" s="143">
        <f>VLOOKUP($D$18,Inputparameters!$C$2:$S$100,6,FALSE)</f>
        <v>3.4</v>
      </c>
      <c r="E28" s="100" t="s">
        <v>172</v>
      </c>
      <c r="F28" s="98"/>
      <c r="G28" s="98"/>
      <c r="H28" s="98"/>
      <c r="I28" s="98"/>
      <c r="J28" s="98"/>
      <c r="K28" s="145"/>
      <c r="L28" s="147">
        <v>0.1</v>
      </c>
      <c r="M28" s="148">
        <v>0.3</v>
      </c>
      <c r="N28" s="148">
        <v>1.5</v>
      </c>
      <c r="O28" s="149">
        <v>0.1</v>
      </c>
      <c r="P28" s="98"/>
      <c r="Q28" s="142"/>
      <c r="R28" s="142"/>
      <c r="S28" s="142"/>
      <c r="T28" s="147">
        <f t="shared" ref="T28:W29" si="5">L28</f>
        <v>0.1</v>
      </c>
      <c r="U28" s="148">
        <f t="shared" si="5"/>
        <v>0.3</v>
      </c>
      <c r="V28" s="148">
        <f t="shared" si="5"/>
        <v>1.5</v>
      </c>
      <c r="W28" s="149">
        <f t="shared" si="5"/>
        <v>0.1</v>
      </c>
      <c r="X28" s="98"/>
      <c r="Y28" s="98"/>
      <c r="Z28" s="98"/>
      <c r="AA28" s="98"/>
      <c r="AB28" s="147">
        <f t="shared" ref="AB28:AE29" si="6">L28</f>
        <v>0.1</v>
      </c>
      <c r="AC28" s="148">
        <f t="shared" si="6"/>
        <v>0.3</v>
      </c>
      <c r="AD28" s="148">
        <f t="shared" si="6"/>
        <v>1.5</v>
      </c>
      <c r="AE28" s="149">
        <f t="shared" si="6"/>
        <v>0.1</v>
      </c>
    </row>
    <row r="29" spans="1:31" ht="13.5" thickBot="1" x14ac:dyDescent="0.3">
      <c r="A29" s="99"/>
      <c r="B29" s="98"/>
      <c r="C29" s="100" t="s">
        <v>173</v>
      </c>
      <c r="D29" s="112">
        <f>VLOOKUP($D$18,Inputparameters!$C$2:$T$100,18,FALSE)</f>
        <v>1</v>
      </c>
      <c r="E29" s="100"/>
      <c r="F29" s="98"/>
      <c r="G29" s="98"/>
      <c r="H29" s="98"/>
      <c r="I29" s="98"/>
      <c r="J29" s="98"/>
      <c r="K29" s="145"/>
      <c r="L29" s="150">
        <v>1</v>
      </c>
      <c r="M29" s="151">
        <v>3</v>
      </c>
      <c r="N29" s="151">
        <v>15</v>
      </c>
      <c r="O29" s="152">
        <v>0.3</v>
      </c>
      <c r="P29" s="98"/>
      <c r="Q29" s="142"/>
      <c r="R29" s="142"/>
      <c r="S29" s="142"/>
      <c r="T29" s="150">
        <f t="shared" si="5"/>
        <v>1</v>
      </c>
      <c r="U29" s="151">
        <f t="shared" si="5"/>
        <v>3</v>
      </c>
      <c r="V29" s="151">
        <f t="shared" si="5"/>
        <v>15</v>
      </c>
      <c r="W29" s="152">
        <f t="shared" si="5"/>
        <v>0.3</v>
      </c>
      <c r="X29" s="98"/>
      <c r="Y29" s="98"/>
      <c r="Z29" s="98"/>
      <c r="AA29" s="98"/>
      <c r="AB29" s="150">
        <f t="shared" si="6"/>
        <v>1</v>
      </c>
      <c r="AC29" s="151">
        <f t="shared" si="6"/>
        <v>3</v>
      </c>
      <c r="AD29" s="151">
        <f t="shared" si="6"/>
        <v>15</v>
      </c>
      <c r="AE29" s="152">
        <f t="shared" si="6"/>
        <v>0.3</v>
      </c>
    </row>
    <row r="30" spans="1:31" x14ac:dyDescent="0.2">
      <c r="A30" s="99"/>
      <c r="B30" s="98"/>
      <c r="C30" s="100"/>
      <c r="D30" s="133"/>
      <c r="E30" s="100"/>
      <c r="F30" s="98"/>
      <c r="G30" s="98"/>
      <c r="H30" s="98"/>
      <c r="I30" s="98"/>
      <c r="J30" s="98"/>
      <c r="K30" s="98"/>
      <c r="L30" s="200" t="s">
        <v>185</v>
      </c>
      <c r="M30" s="201"/>
      <c r="N30" s="201"/>
      <c r="O30" s="202"/>
      <c r="P30" s="98"/>
      <c r="Q30" s="142"/>
      <c r="R30" s="146"/>
      <c r="S30" s="146"/>
      <c r="T30" s="200" t="s">
        <v>30</v>
      </c>
      <c r="U30" s="201"/>
      <c r="V30" s="201"/>
      <c r="W30" s="202"/>
      <c r="X30" s="98"/>
      <c r="Y30" s="98"/>
      <c r="Z30" s="98"/>
      <c r="AA30" s="98"/>
      <c r="AB30" s="153" t="s">
        <v>31</v>
      </c>
      <c r="AC30" s="154"/>
      <c r="AD30" s="154"/>
      <c r="AE30" s="155"/>
    </row>
    <row r="31" spans="1:31" ht="12" thickBot="1" x14ac:dyDescent="0.25">
      <c r="A31" s="99"/>
      <c r="B31" s="98"/>
      <c r="C31" s="100" t="s">
        <v>14</v>
      </c>
      <c r="D31" s="133" t="str">
        <f>D11</f>
        <v>Geen verontreiniging</v>
      </c>
      <c r="E31" s="100"/>
      <c r="F31" s="98"/>
      <c r="G31" s="98"/>
      <c r="H31" s="98"/>
      <c r="I31" s="98"/>
      <c r="J31" s="98"/>
      <c r="K31" s="98"/>
      <c r="L31" s="156" t="s">
        <v>9</v>
      </c>
      <c r="M31" s="157" t="s">
        <v>194</v>
      </c>
      <c r="N31" s="157" t="s">
        <v>196</v>
      </c>
      <c r="O31" s="106" t="s">
        <v>10</v>
      </c>
      <c r="P31" s="98"/>
      <c r="Q31" s="142"/>
      <c r="R31" s="142"/>
      <c r="S31" s="142"/>
      <c r="T31" s="156" t="s">
        <v>9</v>
      </c>
      <c r="U31" s="157" t="s">
        <v>194</v>
      </c>
      <c r="V31" s="157" t="s">
        <v>196</v>
      </c>
      <c r="W31" s="106" t="s">
        <v>10</v>
      </c>
      <c r="X31" s="98"/>
      <c r="Y31" s="98"/>
      <c r="Z31" s="98"/>
      <c r="AA31" s="98"/>
      <c r="AB31" s="156" t="s">
        <v>9</v>
      </c>
      <c r="AC31" s="157" t="s">
        <v>194</v>
      </c>
      <c r="AD31" s="157" t="s">
        <v>196</v>
      </c>
      <c r="AE31" s="106" t="s">
        <v>10</v>
      </c>
    </row>
    <row r="32" spans="1:31" ht="12.75" thickTop="1" thickBot="1" x14ac:dyDescent="0.25">
      <c r="A32" s="99"/>
      <c r="B32" s="98"/>
      <c r="C32" s="100" t="str">
        <f>IF(D31="Geen verontreiniging","","Activiteit verontreiniging #1")</f>
        <v/>
      </c>
      <c r="D32" s="133">
        <f>IF(D12="",VLOOKUP($D$11,Inputparameters!$C$2:$S$100,2,FALSE),D12)</f>
        <v>0</v>
      </c>
      <c r="E32" s="100" t="str">
        <f>IF(D31="Geen verontreiniging","","GBq")</f>
        <v/>
      </c>
      <c r="F32" s="98"/>
      <c r="G32" s="98"/>
      <c r="H32" s="98"/>
      <c r="I32" s="98"/>
      <c r="J32" s="98"/>
      <c r="K32" s="98"/>
      <c r="L32" s="158">
        <f>SUM(L4:L25)/1000</f>
        <v>0.30679657046451969</v>
      </c>
      <c r="M32" s="159">
        <f t="shared" ref="M32:N32" si="7">SUM(M4:M25)/1000</f>
        <v>0.87343615991602674</v>
      </c>
      <c r="N32" s="159">
        <f t="shared" si="7"/>
        <v>0.87343615991602674</v>
      </c>
      <c r="O32" s="160">
        <f>MAX(O4:O25)/1000</f>
        <v>5.9874039426279946E-2</v>
      </c>
      <c r="P32" s="98"/>
      <c r="Q32" s="142"/>
      <c r="R32" s="161"/>
      <c r="S32" s="161"/>
      <c r="T32" s="158">
        <f>SUM(T4:T25)/1000</f>
        <v>7.2177070866078052E-2</v>
      </c>
      <c r="U32" s="159">
        <f t="shared" ref="U32:V32" si="8">SUM(U4:U25)/1000</f>
        <v>0.2488506085967038</v>
      </c>
      <c r="V32" s="159">
        <f t="shared" si="8"/>
        <v>0.2488506085967038</v>
      </c>
      <c r="W32" s="160">
        <f>MAX(W4:W25)/1000</f>
        <v>3.2113587797445227E-2</v>
      </c>
      <c r="X32" s="98"/>
      <c r="Y32" s="98"/>
      <c r="Z32" s="98"/>
      <c r="AA32" s="98"/>
      <c r="AB32" s="162">
        <f>SUM(AB4:AB25)/1000</f>
        <v>0.23461949959844167</v>
      </c>
      <c r="AC32" s="163">
        <f>SUM(AC4:AC25)/1000</f>
        <v>0.62458555131932292</v>
      </c>
      <c r="AD32" s="163">
        <f>SUM(AD4:AD25)/1000</f>
        <v>0.62458555131932292</v>
      </c>
      <c r="AE32" s="164">
        <f>MAX(AE4:AE25)/1000</f>
        <v>3.1784240495248264E-2</v>
      </c>
    </row>
    <row r="33" spans="1:65" ht="13.5" x14ac:dyDescent="0.25">
      <c r="A33" s="99"/>
      <c r="B33" s="98"/>
      <c r="C33" s="141" t="s">
        <v>168</v>
      </c>
      <c r="D33" s="133">
        <f>VLOOKUP($D$31,Inputparameters!$C$2:$S$100,4,FALSE)</f>
        <v>0</v>
      </c>
      <c r="E33" s="100" t="s">
        <v>198</v>
      </c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BG33" s="99"/>
      <c r="BH33" s="99"/>
      <c r="BI33" s="99"/>
      <c r="BJ33" s="99"/>
      <c r="BK33" s="99"/>
      <c r="BL33" s="99"/>
      <c r="BM33" s="99"/>
    </row>
    <row r="34" spans="1:65" ht="13.5" x14ac:dyDescent="0.25">
      <c r="A34" s="99"/>
      <c r="B34" s="98"/>
      <c r="C34" s="100" t="s">
        <v>169</v>
      </c>
      <c r="D34" s="133">
        <f>IF($D$31="Geen verontreiniging",0,VLOOKUP($D$31,Inputparameters!$C$2:$S$100,5,FALSE))</f>
        <v>0</v>
      </c>
      <c r="E34" s="100" t="s">
        <v>170</v>
      </c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BG34" s="99"/>
      <c r="BH34" s="99"/>
      <c r="BI34" s="99"/>
      <c r="BJ34" s="99"/>
      <c r="BK34" s="99"/>
      <c r="BL34" s="99"/>
      <c r="BM34" s="99"/>
    </row>
    <row r="35" spans="1:65" ht="13.5" x14ac:dyDescent="0.25">
      <c r="A35" s="99"/>
      <c r="B35" s="98"/>
      <c r="C35" s="100" t="s">
        <v>171</v>
      </c>
      <c r="D35" s="133">
        <f>IF($D$31="Geen verontreiniging",0,VLOOKUP($D$31,Inputparameters!$C$2:$S$100,6,FALSE))</f>
        <v>0</v>
      </c>
      <c r="E35" s="100" t="s">
        <v>172</v>
      </c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BG35" s="99"/>
      <c r="BH35" s="99"/>
      <c r="BI35" s="99"/>
      <c r="BJ35" s="99"/>
      <c r="BK35" s="99"/>
      <c r="BL35" s="99"/>
      <c r="BM35" s="99"/>
    </row>
    <row r="36" spans="1:65" ht="12.75" x14ac:dyDescent="0.25">
      <c r="A36" s="99"/>
      <c r="B36" s="98"/>
      <c r="C36" s="100" t="s">
        <v>173</v>
      </c>
      <c r="D36" s="133">
        <f>IF($D$31="Geen verontreiniging",0,VLOOKUP($D$31,Inputparameters!$C$2:$T$100,18,FALSE))</f>
        <v>0</v>
      </c>
      <c r="E36" s="100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BG36" s="99"/>
      <c r="BH36" s="99"/>
      <c r="BI36" s="99"/>
      <c r="BJ36" s="99"/>
      <c r="BK36" s="99"/>
      <c r="BL36" s="99"/>
      <c r="BM36" s="99"/>
    </row>
    <row r="37" spans="1:65" x14ac:dyDescent="0.2">
      <c r="A37" s="99"/>
      <c r="B37" s="98"/>
      <c r="C37" s="100"/>
      <c r="D37" s="133"/>
      <c r="E37" s="100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BG37" s="99"/>
      <c r="BH37" s="99"/>
      <c r="BI37" s="99"/>
      <c r="BJ37" s="99"/>
      <c r="BK37" s="99"/>
      <c r="BL37" s="99"/>
      <c r="BM37" s="99"/>
    </row>
    <row r="38" spans="1:65" x14ac:dyDescent="0.2">
      <c r="A38" s="99"/>
      <c r="B38" s="98"/>
      <c r="C38" s="100" t="s">
        <v>16</v>
      </c>
      <c r="D38" s="133" t="str">
        <f>D13</f>
        <v>Geen verontreiniging</v>
      </c>
      <c r="E38" s="100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BG38" s="99"/>
      <c r="BH38" s="99"/>
      <c r="BI38" s="99"/>
      <c r="BJ38" s="99"/>
      <c r="BK38" s="99"/>
      <c r="BL38" s="99"/>
      <c r="BM38" s="99"/>
    </row>
    <row r="39" spans="1:65" x14ac:dyDescent="0.2">
      <c r="A39" s="99"/>
      <c r="B39" s="98"/>
      <c r="C39" s="100" t="str">
        <f>IF(D38="Geen verontreiniging","","Activiteit verontreiniging #2")</f>
        <v/>
      </c>
      <c r="D39" s="133">
        <f>IF(D14="",VLOOKUP($D$13,Inputparameters!$C$2:$S$100,2,FALSE),D14)</f>
        <v>0</v>
      </c>
      <c r="E39" s="100" t="str">
        <f>IF(D38="Geen verontreiniging","","GBq")</f>
        <v/>
      </c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BG39" s="99"/>
      <c r="BH39" s="99"/>
      <c r="BI39" s="99"/>
      <c r="BJ39" s="99"/>
      <c r="BK39" s="99"/>
      <c r="BL39" s="99"/>
      <c r="BM39" s="99"/>
    </row>
    <row r="40" spans="1:65" ht="13.5" x14ac:dyDescent="0.25">
      <c r="A40" s="99"/>
      <c r="B40" s="98"/>
      <c r="C40" s="141" t="s">
        <v>168</v>
      </c>
      <c r="D40" s="133">
        <f>VLOOKUP($D$38,Inputparameters!$C$2:$S$100,4,FALSE)</f>
        <v>0</v>
      </c>
      <c r="E40" s="100" t="s">
        <v>198</v>
      </c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BG40" s="99"/>
      <c r="BH40" s="99"/>
      <c r="BI40" s="99"/>
      <c r="BJ40" s="99"/>
      <c r="BK40" s="99"/>
      <c r="BL40" s="99"/>
      <c r="BM40" s="99"/>
    </row>
    <row r="41" spans="1:65" ht="13.5" x14ac:dyDescent="0.25">
      <c r="A41" s="99"/>
      <c r="B41" s="98"/>
      <c r="C41" s="100" t="s">
        <v>169</v>
      </c>
      <c r="D41" s="133">
        <f>IF($D$38="Geen verontreiniging",0,VLOOKUP($D$38,Inputparameters!$C$2:$S$100,5,FALSE))</f>
        <v>0</v>
      </c>
      <c r="E41" s="100" t="s">
        <v>170</v>
      </c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BG41" s="99"/>
      <c r="BH41" s="99"/>
      <c r="BI41" s="99"/>
      <c r="BJ41" s="99"/>
      <c r="BK41" s="99"/>
      <c r="BL41" s="99"/>
      <c r="BM41" s="99"/>
    </row>
    <row r="42" spans="1:65" ht="13.5" x14ac:dyDescent="0.25">
      <c r="A42" s="99"/>
      <c r="B42" s="98"/>
      <c r="C42" s="100" t="s">
        <v>171</v>
      </c>
      <c r="D42" s="133">
        <f>IF($D$38="Geen verontreiniging",0,VLOOKUP($D$38,Inputparameters!$C$2:$S$100,6,FALSE))</f>
        <v>0</v>
      </c>
      <c r="E42" s="100" t="s">
        <v>172</v>
      </c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BG42" s="99"/>
      <c r="BH42" s="99"/>
      <c r="BI42" s="99"/>
      <c r="BJ42" s="99"/>
      <c r="BK42" s="99"/>
      <c r="BL42" s="99"/>
      <c r="BM42" s="99"/>
    </row>
    <row r="43" spans="1:65" ht="12.75" x14ac:dyDescent="0.25">
      <c r="A43" s="99"/>
      <c r="B43" s="98"/>
      <c r="C43" s="100" t="s">
        <v>173</v>
      </c>
      <c r="D43" s="133">
        <f>IF($D$38="Geen verontreiniging",0,VLOOKUP($D$38,Inputparameters!$C$2:$T$100,18,FALSE))</f>
        <v>0</v>
      </c>
      <c r="E43" s="100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BG43" s="99"/>
      <c r="BH43" s="99"/>
      <c r="BI43" s="99"/>
      <c r="BJ43" s="99"/>
      <c r="BK43" s="99"/>
      <c r="BL43" s="99"/>
      <c r="BM43" s="99"/>
    </row>
    <row r="44" spans="1:65" x14ac:dyDescent="0.2">
      <c r="A44" s="99"/>
      <c r="B44" s="98"/>
      <c r="C44" s="100"/>
      <c r="D44" s="133"/>
      <c r="E44" s="100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BG44" s="99"/>
      <c r="BH44" s="99"/>
      <c r="BI44" s="99"/>
      <c r="BJ44" s="99"/>
      <c r="BK44" s="99"/>
      <c r="BL44" s="99"/>
      <c r="BM44" s="99"/>
    </row>
    <row r="45" spans="1:65" x14ac:dyDescent="0.2">
      <c r="A45" s="99"/>
      <c r="B45" s="98"/>
      <c r="C45" s="100" t="s">
        <v>32</v>
      </c>
      <c r="D45" s="133" t="str">
        <f>VLOOKUP($D$18,Inputparameters!$C$2:$S$100,17,FALSE)</f>
        <v>tijd</v>
      </c>
      <c r="E45" s="100"/>
      <c r="F45" s="98"/>
      <c r="G45" s="98"/>
      <c r="H45" s="98"/>
      <c r="I45" s="165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BG45" s="99"/>
      <c r="BH45" s="99"/>
      <c r="BI45" s="99"/>
      <c r="BJ45" s="99"/>
      <c r="BK45" s="99"/>
      <c r="BL45" s="99"/>
      <c r="BM45" s="99"/>
    </row>
    <row r="46" spans="1:65" ht="12.75" x14ac:dyDescent="0.2">
      <c r="A46" s="99"/>
      <c r="B46" s="98"/>
      <c r="C46" s="141" t="s">
        <v>33</v>
      </c>
      <c r="D46" s="112">
        <f>VLOOKUP($D$18,Inputparameters!$C$2:$S$100,9,FALSE)</f>
        <v>4.2999999999999997E-2</v>
      </c>
      <c r="E46" s="100" t="s">
        <v>198</v>
      </c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BG46" s="99"/>
      <c r="BH46" s="99"/>
      <c r="BI46" s="99"/>
      <c r="BJ46" s="99"/>
      <c r="BK46" s="99"/>
      <c r="BL46" s="99"/>
      <c r="BM46" s="99"/>
    </row>
    <row r="47" spans="1:65" x14ac:dyDescent="0.2">
      <c r="A47" s="99"/>
      <c r="B47" s="98"/>
      <c r="C47" s="141" t="str">
        <f>IF(VLOOKUP(D18,Inputparameters!$C$2:$S$100,17,FALSE)="tijd","T1","f1")</f>
        <v>T1</v>
      </c>
      <c r="D47" s="133">
        <f>IF(VLOOKUP($D$18,Inputparameters!$C$2:$S$100,17,FALSE)="tijd",VLOOKUP($D$18,Inputparameters!$C$2:$S$100,10,FALSE),VLOOKUP($D$18,Inputparameters!$C$2:$S$100,11,FALSE))</f>
        <v>17.100000000000001</v>
      </c>
      <c r="E47" s="100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BG47" s="99"/>
      <c r="BH47" s="99"/>
      <c r="BI47" s="99"/>
      <c r="BJ47" s="99"/>
      <c r="BK47" s="99"/>
      <c r="BL47" s="99"/>
      <c r="BM47" s="99"/>
    </row>
    <row r="48" spans="1:65" ht="12.75" x14ac:dyDescent="0.2">
      <c r="A48" s="99"/>
      <c r="B48" s="98"/>
      <c r="C48" s="100" t="str">
        <f>IF(VLOOKUP(D18,Inputparameters!$C$2:$S$100,12,FALSE)="","","λb2")</f>
        <v>λb2</v>
      </c>
      <c r="D48" s="112">
        <f>IF(VLOOKUP(D18,Inputparameters!$C$2:$S$100,12,FALSE)="","",VLOOKUP(D18,Inputparameters!$C$2:S100,12,FALSE))</f>
        <v>2.2000000000000001E-3</v>
      </c>
      <c r="E48" s="100" t="s">
        <v>198</v>
      </c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BG48" s="99"/>
      <c r="BH48" s="99"/>
      <c r="BI48" s="99"/>
      <c r="BJ48" s="99"/>
      <c r="BK48" s="99"/>
      <c r="BL48" s="99"/>
      <c r="BM48" s="99"/>
    </row>
    <row r="49" spans="1:65" x14ac:dyDescent="0.2">
      <c r="A49" s="99"/>
      <c r="B49" s="98"/>
      <c r="C49" s="141" t="str">
        <f>IF(VLOOKUP(D18,Inputparameters!C2:S100,12,FALSE)="","",IF(VLOOKUP(D18,Inputparameters!$C$2:$S$100,17,FALSE)="tijd","T2","f2"))</f>
        <v>T2</v>
      </c>
      <c r="D49" s="133" t="str">
        <f>IF(VLOOKUP($D$18,Inputparameters!$C$2:$S$100,17,FALSE)="tijd",IF(VLOOKUP($D$18,Inputparameters!$C$2:$S$100,13,FALSE)="","∞",VLOOKUP($D$18,Inputparameters!$C$2:$S$100,13,FALSE)),IF(VLOOKUP($D$18,Inputparameters!$C$2:$S$100,14,FALSE)="","",VLOOKUP($D$18,Inputparameters!$C$2:$S$100,14,FALSE)))</f>
        <v>∞</v>
      </c>
      <c r="E49" s="100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BG49" s="99"/>
      <c r="BH49" s="99"/>
      <c r="BI49" s="99"/>
      <c r="BJ49" s="99"/>
      <c r="BK49" s="99"/>
      <c r="BL49" s="99"/>
      <c r="BM49" s="99"/>
    </row>
    <row r="50" spans="1:65" x14ac:dyDescent="0.2">
      <c r="A50" s="99"/>
      <c r="B50" s="98"/>
      <c r="C50" s="100" t="str">
        <f>IF(VLOOKUP(D18,Inputparameters!$C$2:$S$100,15,FALSE)="","","λb3")</f>
        <v/>
      </c>
      <c r="D50" s="133" t="str">
        <f>IF(VLOOKUP(D18,Inputparameters!$C$2:$S$100,15,FALSE)="","",VLOOKUP(D18,Inputparameters!$C$2:S102,15,FALSE))</f>
        <v/>
      </c>
      <c r="E50" s="100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BG50" s="99"/>
      <c r="BH50" s="99"/>
      <c r="BI50" s="99"/>
      <c r="BJ50" s="99"/>
      <c r="BK50" s="99"/>
      <c r="BL50" s="99"/>
      <c r="BM50" s="99"/>
    </row>
    <row r="51" spans="1:65" x14ac:dyDescent="0.2">
      <c r="A51" s="99"/>
      <c r="B51" s="98"/>
      <c r="C51" s="141" t="str">
        <f>IF(VLOOKUP(D18,Inputparameters!$C$2:$T$100,15,FALSE)="","",IF(VLOOKUP(D18,Inputparameters!$C$2:$T$100,17,FALSE)="tijd","T3","f3"))</f>
        <v/>
      </c>
      <c r="D51" s="133" t="str">
        <f>IF(VLOOKUP($D$18,Inputparameters!$C$2:$S$100,17,FALSE)="tijd",IF(VLOOKUP($D$18,Inputparameters!$C$2:$S$100,13,FALSE)="","","∞"),IF(VLOOKUP($D$18,Inputparameters!$C$2:$S$100,16,FALSE)="","",VLOOKUP($D$18,Inputparameters!$C$2:$S$100,16,FALSE)))</f>
        <v/>
      </c>
      <c r="E51" s="100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BG51" s="99"/>
      <c r="BH51" s="99"/>
      <c r="BI51" s="99"/>
      <c r="BJ51" s="99"/>
      <c r="BK51" s="99"/>
      <c r="BL51" s="99"/>
      <c r="BM51" s="99"/>
    </row>
    <row r="52" spans="1:65" s="99" customFormat="1" x14ac:dyDescent="0.2"/>
    <row r="53" spans="1:65" s="99" customFormat="1" x14ac:dyDescent="0.2"/>
    <row r="54" spans="1:65" s="99" customFormat="1" x14ac:dyDescent="0.2"/>
    <row r="55" spans="1:65" s="99" customFormat="1" x14ac:dyDescent="0.2"/>
    <row r="56" spans="1:65" s="99" customFormat="1" x14ac:dyDescent="0.2"/>
    <row r="57" spans="1:65" s="99" customFormat="1" x14ac:dyDescent="0.2"/>
    <row r="58" spans="1:65" s="99" customFormat="1" x14ac:dyDescent="0.2"/>
    <row r="59" spans="1:65" s="99" customFormat="1" x14ac:dyDescent="0.2"/>
    <row r="60" spans="1:65" s="99" customFormat="1" x14ac:dyDescent="0.2"/>
    <row r="61" spans="1:65" s="99" customFormat="1" x14ac:dyDescent="0.2"/>
    <row r="62" spans="1:65" s="99" customFormat="1" x14ac:dyDescent="0.2"/>
    <row r="63" spans="1:65" s="99" customFormat="1" x14ac:dyDescent="0.2"/>
    <row r="64" spans="1:65" s="99" customFormat="1" x14ac:dyDescent="0.2"/>
    <row r="65" s="99" customFormat="1" x14ac:dyDescent="0.2"/>
    <row r="66" s="99" customFormat="1" x14ac:dyDescent="0.2"/>
    <row r="67" s="99" customFormat="1" x14ac:dyDescent="0.2"/>
    <row r="68" s="99" customFormat="1" x14ac:dyDescent="0.2"/>
    <row r="69" s="99" customFormat="1" x14ac:dyDescent="0.2"/>
    <row r="70" s="99" customFormat="1" x14ac:dyDescent="0.2"/>
    <row r="71" s="99" customFormat="1" x14ac:dyDescent="0.2"/>
    <row r="72" s="99" customFormat="1" x14ac:dyDescent="0.2"/>
    <row r="73" s="99" customFormat="1" x14ac:dyDescent="0.2"/>
    <row r="74" s="99" customFormat="1" x14ac:dyDescent="0.2"/>
    <row r="75" s="99" customFormat="1" x14ac:dyDescent="0.2"/>
    <row r="76" s="99" customFormat="1" x14ac:dyDescent="0.2"/>
    <row r="77" s="99" customFormat="1" x14ac:dyDescent="0.2"/>
    <row r="78" s="99" customFormat="1" x14ac:dyDescent="0.2"/>
    <row r="79" s="99" customFormat="1" x14ac:dyDescent="0.2"/>
    <row r="80" s="99" customFormat="1" x14ac:dyDescent="0.2"/>
    <row r="81" s="99" customFormat="1" x14ac:dyDescent="0.2"/>
    <row r="82" s="99" customFormat="1" x14ac:dyDescent="0.2"/>
    <row r="83" s="99" customFormat="1" x14ac:dyDescent="0.2"/>
    <row r="84" s="99" customFormat="1" x14ac:dyDescent="0.2"/>
    <row r="85" s="99" customFormat="1" x14ac:dyDescent="0.2"/>
    <row r="86" s="99" customFormat="1" x14ac:dyDescent="0.2"/>
    <row r="87" s="99" customFormat="1" x14ac:dyDescent="0.2"/>
    <row r="88" s="99" customFormat="1" x14ac:dyDescent="0.2"/>
    <row r="89" s="99" customFormat="1" x14ac:dyDescent="0.2"/>
    <row r="90" s="99" customFormat="1" x14ac:dyDescent="0.2"/>
    <row r="91" s="99" customFormat="1" x14ac:dyDescent="0.2"/>
    <row r="92" s="99" customFormat="1" x14ac:dyDescent="0.2"/>
    <row r="93" s="99" customFormat="1" x14ac:dyDescent="0.2"/>
    <row r="94" s="99" customFormat="1" x14ac:dyDescent="0.2"/>
    <row r="95" s="99" customFormat="1" x14ac:dyDescent="0.2"/>
    <row r="96" s="99" customFormat="1" x14ac:dyDescent="0.2"/>
    <row r="97" s="99" customFormat="1" x14ac:dyDescent="0.2"/>
    <row r="98" s="99" customFormat="1" x14ac:dyDescent="0.2"/>
    <row r="99" s="99" customFormat="1" x14ac:dyDescent="0.2"/>
    <row r="100" s="99" customFormat="1" x14ac:dyDescent="0.2"/>
    <row r="101" s="99" customFormat="1" x14ac:dyDescent="0.2"/>
    <row r="102" s="99" customFormat="1" x14ac:dyDescent="0.2"/>
    <row r="103" s="99" customFormat="1" x14ac:dyDescent="0.2"/>
    <row r="104" s="99" customFormat="1" x14ac:dyDescent="0.2"/>
    <row r="105" s="99" customFormat="1" x14ac:dyDescent="0.2"/>
    <row r="106" s="99" customFormat="1" x14ac:dyDescent="0.2"/>
    <row r="107" s="99" customFormat="1" x14ac:dyDescent="0.2"/>
    <row r="108" s="99" customFormat="1" x14ac:dyDescent="0.2"/>
    <row r="109" s="99" customFormat="1" x14ac:dyDescent="0.2"/>
    <row r="110" s="99" customFormat="1" x14ac:dyDescent="0.2"/>
    <row r="111" s="99" customFormat="1" x14ac:dyDescent="0.2"/>
    <row r="112" s="99" customFormat="1" x14ac:dyDescent="0.2"/>
    <row r="113" s="99" customFormat="1" x14ac:dyDescent="0.2"/>
    <row r="114" s="99" customFormat="1" x14ac:dyDescent="0.2"/>
    <row r="115" s="99" customFormat="1" x14ac:dyDescent="0.2"/>
    <row r="116" s="99" customFormat="1" x14ac:dyDescent="0.2"/>
    <row r="117" s="99" customFormat="1" x14ac:dyDescent="0.2"/>
    <row r="118" s="99" customFormat="1" x14ac:dyDescent="0.2"/>
    <row r="119" s="99" customFormat="1" x14ac:dyDescent="0.2"/>
    <row r="120" s="99" customFormat="1" x14ac:dyDescent="0.2"/>
    <row r="121" s="99" customFormat="1" x14ac:dyDescent="0.2"/>
    <row r="122" s="99" customFormat="1" x14ac:dyDescent="0.2"/>
    <row r="123" s="99" customFormat="1" x14ac:dyDescent="0.2"/>
    <row r="124" s="99" customFormat="1" x14ac:dyDescent="0.2"/>
    <row r="125" s="99" customFormat="1" x14ac:dyDescent="0.2"/>
    <row r="126" s="99" customFormat="1" x14ac:dyDescent="0.2"/>
    <row r="127" s="99" customFormat="1" x14ac:dyDescent="0.2"/>
    <row r="128" s="99" customFormat="1" x14ac:dyDescent="0.2"/>
    <row r="129" s="99" customFormat="1" x14ac:dyDescent="0.2"/>
    <row r="130" s="99" customFormat="1" x14ac:dyDescent="0.2"/>
    <row r="131" s="99" customFormat="1" x14ac:dyDescent="0.2"/>
    <row r="132" s="99" customFormat="1" x14ac:dyDescent="0.2"/>
    <row r="133" s="99" customFormat="1" x14ac:dyDescent="0.2"/>
    <row r="134" s="99" customFormat="1" x14ac:dyDescent="0.2"/>
    <row r="135" s="99" customFormat="1" x14ac:dyDescent="0.2"/>
    <row r="136" s="99" customFormat="1" x14ac:dyDescent="0.2"/>
    <row r="137" s="99" customFormat="1" x14ac:dyDescent="0.2"/>
    <row r="138" s="99" customFormat="1" x14ac:dyDescent="0.2"/>
    <row r="139" s="99" customFormat="1" x14ac:dyDescent="0.2"/>
    <row r="140" s="99" customFormat="1" x14ac:dyDescent="0.2"/>
    <row r="141" s="99" customFormat="1" x14ac:dyDescent="0.2"/>
    <row r="142" s="99" customFormat="1" x14ac:dyDescent="0.2"/>
    <row r="143" s="99" customFormat="1" x14ac:dyDescent="0.2"/>
    <row r="144" s="99" customFormat="1" x14ac:dyDescent="0.2"/>
    <row r="145" spans="11:65" s="99" customFormat="1" x14ac:dyDescent="0.2"/>
    <row r="146" spans="11:65" s="99" customFormat="1" x14ac:dyDescent="0.2"/>
    <row r="147" spans="11:65" s="99" customFormat="1" x14ac:dyDescent="0.2"/>
    <row r="148" spans="11:65" s="99" customFormat="1" x14ac:dyDescent="0.2"/>
    <row r="149" spans="11:65" s="99" customFormat="1" x14ac:dyDescent="0.2"/>
    <row r="150" spans="11:65" s="99" customFormat="1" x14ac:dyDescent="0.2"/>
    <row r="151" spans="11:65" s="99" customFormat="1" x14ac:dyDescent="0.2"/>
    <row r="152" spans="11:65" s="99" customFormat="1" x14ac:dyDescent="0.2"/>
    <row r="153" spans="11:65" s="99" customFormat="1" x14ac:dyDescent="0.2"/>
    <row r="154" spans="11:65" s="99" customFormat="1" x14ac:dyDescent="0.2"/>
    <row r="155" spans="11:65" s="99" customFormat="1" x14ac:dyDescent="0.2"/>
    <row r="156" spans="11:65" s="99" customFormat="1" x14ac:dyDescent="0.2"/>
    <row r="157" spans="11:65" s="99" customFormat="1" x14ac:dyDescent="0.2"/>
    <row r="158" spans="11:65" x14ac:dyDescent="0.2">
      <c r="K158" s="99"/>
      <c r="L158" s="99"/>
      <c r="M158" s="99"/>
      <c r="N158" s="99"/>
      <c r="O158" s="99"/>
      <c r="Q158" s="99"/>
      <c r="R158" s="99"/>
      <c r="S158" s="99"/>
      <c r="T158" s="99"/>
      <c r="U158" s="99"/>
      <c r="V158" s="99"/>
      <c r="W158" s="99"/>
      <c r="Y158" s="99"/>
      <c r="Z158" s="99"/>
      <c r="AA158" s="99"/>
      <c r="AB158" s="99"/>
      <c r="AC158" s="99"/>
      <c r="AD158" s="99"/>
      <c r="AE158" s="99"/>
      <c r="BG158" s="99"/>
      <c r="BH158" s="99"/>
      <c r="BI158" s="99"/>
      <c r="BJ158" s="99"/>
      <c r="BK158" s="99"/>
      <c r="BL158" s="99"/>
      <c r="BM158" s="99"/>
    </row>
    <row r="159" spans="11:65" x14ac:dyDescent="0.2">
      <c r="K159" s="99"/>
      <c r="L159" s="99"/>
      <c r="M159" s="99"/>
      <c r="N159" s="99"/>
      <c r="O159" s="99"/>
      <c r="Q159" s="99"/>
      <c r="R159" s="99"/>
      <c r="S159" s="99"/>
      <c r="T159" s="99"/>
      <c r="U159" s="99"/>
      <c r="V159" s="99"/>
      <c r="W159" s="99"/>
      <c r="Y159" s="99"/>
      <c r="Z159" s="99"/>
      <c r="AA159" s="99"/>
      <c r="AB159" s="99"/>
      <c r="AC159" s="99"/>
      <c r="AD159" s="99"/>
      <c r="AE159" s="99"/>
      <c r="BG159" s="99"/>
      <c r="BH159" s="99"/>
      <c r="BI159" s="99"/>
      <c r="BJ159" s="99"/>
      <c r="BK159" s="99"/>
      <c r="BL159" s="99"/>
      <c r="BM159" s="99"/>
    </row>
    <row r="160" spans="11:65" x14ac:dyDescent="0.2">
      <c r="K160" s="99"/>
      <c r="L160" s="99"/>
      <c r="M160" s="99"/>
      <c r="N160" s="99"/>
      <c r="O160" s="99"/>
      <c r="Q160" s="99"/>
      <c r="R160" s="99"/>
      <c r="S160" s="99"/>
      <c r="T160" s="99"/>
      <c r="U160" s="99"/>
      <c r="V160" s="99"/>
      <c r="W160" s="99"/>
      <c r="Y160" s="99"/>
      <c r="Z160" s="99"/>
      <c r="AA160" s="99"/>
      <c r="AB160" s="99"/>
      <c r="AC160" s="99"/>
      <c r="AD160" s="99"/>
      <c r="AE160" s="99"/>
      <c r="BG160" s="99"/>
      <c r="BH160" s="99"/>
      <c r="BI160" s="99"/>
      <c r="BJ160" s="99"/>
      <c r="BK160" s="99"/>
      <c r="BL160" s="99"/>
      <c r="BM160" s="99"/>
    </row>
    <row r="161" spans="11:65" x14ac:dyDescent="0.2">
      <c r="K161" s="99"/>
      <c r="L161" s="99"/>
      <c r="M161" s="99"/>
      <c r="N161" s="99"/>
      <c r="O161" s="99"/>
      <c r="Q161" s="99"/>
      <c r="R161" s="99"/>
      <c r="S161" s="99"/>
      <c r="T161" s="99"/>
      <c r="U161" s="99"/>
      <c r="V161" s="99"/>
      <c r="W161" s="99"/>
      <c r="Y161" s="99"/>
      <c r="Z161" s="99"/>
      <c r="AA161" s="99"/>
      <c r="AB161" s="99"/>
      <c r="AC161" s="99"/>
      <c r="AD161" s="99"/>
      <c r="AE161" s="99"/>
      <c r="BG161" s="99"/>
      <c r="BH161" s="99"/>
      <c r="BI161" s="99"/>
      <c r="BJ161" s="99"/>
      <c r="BK161" s="99"/>
      <c r="BL161" s="99"/>
      <c r="BM161" s="99"/>
    </row>
    <row r="162" spans="11:65" x14ac:dyDescent="0.2">
      <c r="K162" s="99"/>
      <c r="L162" s="99"/>
      <c r="M162" s="99"/>
      <c r="N162" s="99"/>
      <c r="O162" s="99"/>
      <c r="Q162" s="99"/>
      <c r="R162" s="99"/>
      <c r="S162" s="99"/>
      <c r="T162" s="99"/>
      <c r="U162" s="99"/>
      <c r="V162" s="99"/>
      <c r="W162" s="99"/>
      <c r="Y162" s="99"/>
      <c r="Z162" s="99"/>
      <c r="AA162" s="99"/>
      <c r="AB162" s="99"/>
      <c r="AC162" s="99"/>
      <c r="AD162" s="99"/>
      <c r="AE162" s="99"/>
      <c r="BG162" s="99"/>
      <c r="BH162" s="99"/>
      <c r="BI162" s="99"/>
      <c r="BJ162" s="99"/>
      <c r="BK162" s="99"/>
      <c r="BL162" s="99"/>
      <c r="BM162" s="99"/>
    </row>
    <row r="163" spans="11:65" x14ac:dyDescent="0.2">
      <c r="K163" s="99"/>
      <c r="L163" s="99"/>
      <c r="M163" s="99"/>
      <c r="N163" s="99"/>
      <c r="O163" s="99"/>
      <c r="Q163" s="99"/>
      <c r="R163" s="99"/>
      <c r="S163" s="99"/>
      <c r="T163" s="99"/>
      <c r="U163" s="99"/>
      <c r="V163" s="99"/>
      <c r="W163" s="99"/>
      <c r="Y163" s="99"/>
      <c r="Z163" s="99"/>
      <c r="AA163" s="99"/>
      <c r="AB163" s="99"/>
      <c r="AC163" s="99"/>
      <c r="AD163" s="99"/>
      <c r="AE163" s="99"/>
      <c r="BG163" s="99"/>
      <c r="BH163" s="99"/>
      <c r="BI163" s="99"/>
      <c r="BJ163" s="99"/>
      <c r="BK163" s="99"/>
      <c r="BL163" s="99"/>
      <c r="BM163" s="99"/>
    </row>
    <row r="164" spans="11:65" x14ac:dyDescent="0.2">
      <c r="K164" s="99"/>
      <c r="L164" s="99"/>
      <c r="M164" s="99"/>
      <c r="N164" s="99"/>
      <c r="O164" s="99"/>
      <c r="Q164" s="99"/>
      <c r="R164" s="99"/>
      <c r="S164" s="99"/>
      <c r="T164" s="99"/>
      <c r="U164" s="99"/>
      <c r="V164" s="99"/>
      <c r="W164" s="99"/>
      <c r="Y164" s="99"/>
      <c r="Z164" s="99"/>
      <c r="AA164" s="99"/>
      <c r="AB164" s="99"/>
      <c r="AC164" s="99"/>
      <c r="AD164" s="99"/>
      <c r="AE164" s="99"/>
      <c r="BG164" s="99"/>
      <c r="BH164" s="99"/>
      <c r="BI164" s="99"/>
      <c r="BJ164" s="99"/>
      <c r="BK164" s="99"/>
      <c r="BL164" s="99"/>
      <c r="BM164" s="99"/>
    </row>
    <row r="165" spans="11:65" x14ac:dyDescent="0.2">
      <c r="K165" s="99"/>
      <c r="L165" s="99"/>
      <c r="M165" s="99"/>
      <c r="N165" s="99"/>
      <c r="O165" s="99"/>
      <c r="Q165" s="99"/>
      <c r="R165" s="99"/>
      <c r="S165" s="99"/>
      <c r="T165" s="99"/>
      <c r="U165" s="99"/>
      <c r="V165" s="99"/>
      <c r="W165" s="99"/>
      <c r="Y165" s="99"/>
      <c r="Z165" s="99"/>
      <c r="AA165" s="99"/>
      <c r="AB165" s="99"/>
      <c r="AC165" s="99"/>
      <c r="AD165" s="99"/>
      <c r="AE165" s="99"/>
      <c r="BG165" s="99"/>
      <c r="BH165" s="99"/>
      <c r="BI165" s="99"/>
      <c r="BJ165" s="99"/>
      <c r="BK165" s="99"/>
      <c r="BL165" s="99"/>
      <c r="BM165" s="99"/>
    </row>
    <row r="166" spans="11:65" x14ac:dyDescent="0.2">
      <c r="K166" s="99"/>
      <c r="L166" s="99"/>
      <c r="M166" s="99"/>
      <c r="N166" s="99"/>
      <c r="O166" s="99"/>
      <c r="Q166" s="99"/>
      <c r="R166" s="99"/>
      <c r="S166" s="99"/>
      <c r="T166" s="99"/>
      <c r="U166" s="99"/>
      <c r="V166" s="99"/>
      <c r="W166" s="99"/>
      <c r="Y166" s="99"/>
      <c r="Z166" s="99"/>
      <c r="AA166" s="99"/>
      <c r="AB166" s="99"/>
      <c r="AC166" s="99"/>
      <c r="AD166" s="99"/>
      <c r="AE166" s="99"/>
      <c r="BG166" s="99"/>
      <c r="BH166" s="99"/>
      <c r="BI166" s="99"/>
      <c r="BJ166" s="99"/>
      <c r="BK166" s="99"/>
      <c r="BL166" s="99"/>
      <c r="BM166" s="99"/>
    </row>
    <row r="167" spans="11:65" x14ac:dyDescent="0.2">
      <c r="K167" s="99"/>
      <c r="L167" s="99"/>
      <c r="M167" s="99"/>
      <c r="N167" s="99"/>
      <c r="O167" s="99"/>
      <c r="Q167" s="99"/>
      <c r="R167" s="99"/>
      <c r="S167" s="99"/>
      <c r="T167" s="99"/>
      <c r="U167" s="99"/>
      <c r="V167" s="99"/>
      <c r="W167" s="99"/>
      <c r="Y167" s="99"/>
      <c r="Z167" s="99"/>
      <c r="AA167" s="99"/>
      <c r="AB167" s="99"/>
      <c r="AC167" s="99"/>
      <c r="AD167" s="99"/>
      <c r="AE167" s="99"/>
      <c r="BG167" s="99"/>
      <c r="BH167" s="99"/>
      <c r="BI167" s="99"/>
      <c r="BJ167" s="99"/>
      <c r="BK167" s="99"/>
      <c r="BL167" s="99"/>
      <c r="BM167" s="99"/>
    </row>
    <row r="168" spans="11:65" x14ac:dyDescent="0.2">
      <c r="K168" s="99"/>
      <c r="L168" s="99"/>
      <c r="M168" s="99"/>
      <c r="N168" s="99"/>
      <c r="O168" s="99"/>
      <c r="Q168" s="99"/>
      <c r="R168" s="99"/>
      <c r="S168" s="99"/>
      <c r="T168" s="99"/>
      <c r="U168" s="99"/>
      <c r="V168" s="99"/>
      <c r="W168" s="99"/>
      <c r="Y168" s="99"/>
      <c r="Z168" s="99"/>
      <c r="AA168" s="99"/>
      <c r="AB168" s="99"/>
      <c r="AC168" s="99"/>
      <c r="AD168" s="99"/>
      <c r="AE168" s="99"/>
      <c r="BG168" s="99"/>
      <c r="BH168" s="99"/>
      <c r="BI168" s="99"/>
      <c r="BJ168" s="99"/>
      <c r="BK168" s="99"/>
      <c r="BL168" s="99"/>
      <c r="BM168" s="99"/>
    </row>
    <row r="169" spans="11:65" x14ac:dyDescent="0.2">
      <c r="K169" s="99"/>
      <c r="L169" s="99"/>
      <c r="M169" s="99"/>
      <c r="N169" s="99"/>
      <c r="O169" s="99"/>
      <c r="Q169" s="99"/>
      <c r="R169" s="99"/>
      <c r="S169" s="99"/>
      <c r="T169" s="99"/>
      <c r="U169" s="99"/>
      <c r="V169" s="99"/>
      <c r="W169" s="99"/>
      <c r="Y169" s="99"/>
      <c r="Z169" s="99"/>
      <c r="AA169" s="99"/>
      <c r="AB169" s="99"/>
      <c r="AC169" s="99"/>
      <c r="AD169" s="99"/>
      <c r="AE169" s="99"/>
      <c r="BG169" s="99"/>
      <c r="BH169" s="99"/>
      <c r="BI169" s="99"/>
      <c r="BJ169" s="99"/>
      <c r="BK169" s="99"/>
      <c r="BL169" s="99"/>
      <c r="BM169" s="99"/>
    </row>
    <row r="170" spans="11:65" x14ac:dyDescent="0.2">
      <c r="K170" s="99"/>
      <c r="L170" s="99"/>
      <c r="M170" s="99"/>
      <c r="N170" s="99"/>
      <c r="O170" s="99"/>
      <c r="Q170" s="99"/>
      <c r="R170" s="99"/>
      <c r="S170" s="99"/>
      <c r="T170" s="99"/>
      <c r="U170" s="99"/>
      <c r="V170" s="99"/>
      <c r="W170" s="99"/>
      <c r="Y170" s="99"/>
      <c r="Z170" s="99"/>
      <c r="AA170" s="99"/>
      <c r="AB170" s="99"/>
      <c r="AC170" s="99"/>
      <c r="AD170" s="99"/>
      <c r="AE170" s="99"/>
      <c r="BG170" s="99"/>
      <c r="BH170" s="99"/>
      <c r="BI170" s="99"/>
      <c r="BJ170" s="99"/>
      <c r="BK170" s="99"/>
      <c r="BL170" s="99"/>
      <c r="BM170" s="99"/>
    </row>
    <row r="171" spans="11:65" x14ac:dyDescent="0.2">
      <c r="K171" s="99"/>
      <c r="L171" s="99"/>
      <c r="M171" s="99"/>
      <c r="N171" s="99"/>
      <c r="O171" s="99"/>
      <c r="Q171" s="99"/>
      <c r="R171" s="99"/>
      <c r="S171" s="99"/>
      <c r="T171" s="99"/>
      <c r="U171" s="99"/>
      <c r="V171" s="99"/>
      <c r="W171" s="99"/>
      <c r="Y171" s="99"/>
      <c r="Z171" s="99"/>
      <c r="AA171" s="99"/>
      <c r="AB171" s="99"/>
      <c r="AC171" s="99"/>
      <c r="AD171" s="99"/>
      <c r="AE171" s="99"/>
      <c r="BG171" s="99"/>
      <c r="BH171" s="99"/>
      <c r="BI171" s="99"/>
      <c r="BJ171" s="99"/>
      <c r="BK171" s="99"/>
      <c r="BL171" s="99"/>
      <c r="BM171" s="99"/>
    </row>
    <row r="172" spans="11:65" x14ac:dyDescent="0.2">
      <c r="K172" s="99"/>
      <c r="L172" s="99"/>
      <c r="M172" s="99"/>
      <c r="N172" s="99"/>
      <c r="O172" s="99"/>
      <c r="Q172" s="99"/>
      <c r="R172" s="99"/>
      <c r="S172" s="99"/>
      <c r="T172" s="99"/>
      <c r="U172" s="99"/>
      <c r="V172" s="99"/>
      <c r="W172" s="99"/>
      <c r="Y172" s="99"/>
      <c r="Z172" s="99"/>
      <c r="AA172" s="99"/>
      <c r="AB172" s="99"/>
      <c r="AC172" s="99"/>
      <c r="AD172" s="99"/>
      <c r="AE172" s="99"/>
      <c r="BG172" s="99"/>
      <c r="BH172" s="99"/>
      <c r="BI172" s="99"/>
      <c r="BJ172" s="99"/>
      <c r="BK172" s="99"/>
      <c r="BL172" s="99"/>
      <c r="BM172" s="99"/>
    </row>
    <row r="173" spans="11:65" x14ac:dyDescent="0.2">
      <c r="K173" s="99"/>
      <c r="L173" s="99"/>
      <c r="M173" s="99"/>
      <c r="N173" s="99"/>
      <c r="O173" s="99"/>
      <c r="Q173" s="99"/>
      <c r="R173" s="99"/>
      <c r="S173" s="99"/>
      <c r="T173" s="99"/>
      <c r="U173" s="99"/>
      <c r="V173" s="99"/>
      <c r="W173" s="99"/>
      <c r="Y173" s="99"/>
      <c r="Z173" s="99"/>
      <c r="AA173" s="99"/>
      <c r="AB173" s="99"/>
      <c r="AC173" s="99"/>
      <c r="AD173" s="99"/>
      <c r="AE173" s="99"/>
      <c r="BG173" s="99"/>
      <c r="BH173" s="99"/>
      <c r="BI173" s="99"/>
      <c r="BJ173" s="99"/>
      <c r="BK173" s="99"/>
      <c r="BL173" s="99"/>
      <c r="BM173" s="99"/>
    </row>
    <row r="174" spans="11:65" x14ac:dyDescent="0.2">
      <c r="K174" s="99"/>
      <c r="L174" s="99"/>
      <c r="M174" s="99"/>
      <c r="N174" s="99"/>
      <c r="O174" s="99"/>
      <c r="Q174" s="99"/>
      <c r="R174" s="99"/>
      <c r="S174" s="99"/>
      <c r="T174" s="99"/>
      <c r="U174" s="99"/>
      <c r="V174" s="99"/>
      <c r="W174" s="99"/>
      <c r="Y174" s="99"/>
      <c r="Z174" s="99"/>
      <c r="AA174" s="99"/>
      <c r="AB174" s="99"/>
      <c r="AC174" s="99"/>
      <c r="AD174" s="99"/>
      <c r="AE174" s="99"/>
      <c r="BG174" s="99"/>
      <c r="BH174" s="99"/>
      <c r="BI174" s="99"/>
      <c r="BJ174" s="99"/>
      <c r="BK174" s="99"/>
      <c r="BL174" s="99"/>
      <c r="BM174" s="99"/>
    </row>
    <row r="175" spans="11:65" x14ac:dyDescent="0.2">
      <c r="K175" s="99"/>
      <c r="L175" s="99"/>
      <c r="M175" s="99"/>
      <c r="N175" s="99"/>
      <c r="O175" s="99"/>
      <c r="Q175" s="99"/>
      <c r="R175" s="99"/>
      <c r="S175" s="99"/>
      <c r="T175" s="99"/>
      <c r="U175" s="99"/>
      <c r="V175" s="99"/>
      <c r="W175" s="99"/>
      <c r="Y175" s="99"/>
      <c r="Z175" s="99"/>
      <c r="AA175" s="99"/>
      <c r="AB175" s="99"/>
      <c r="AC175" s="99"/>
      <c r="AD175" s="99"/>
      <c r="AE175" s="99"/>
      <c r="BG175" s="99"/>
      <c r="BH175" s="99"/>
      <c r="BI175" s="99"/>
      <c r="BJ175" s="99"/>
      <c r="BK175" s="99"/>
      <c r="BL175" s="99"/>
      <c r="BM175" s="99"/>
    </row>
    <row r="176" spans="11:65" x14ac:dyDescent="0.2">
      <c r="K176" s="99"/>
      <c r="L176" s="99"/>
      <c r="M176" s="99"/>
      <c r="N176" s="99"/>
      <c r="O176" s="99"/>
      <c r="Q176" s="99"/>
      <c r="R176" s="99"/>
      <c r="S176" s="99"/>
      <c r="T176" s="99"/>
      <c r="U176" s="99"/>
      <c r="V176" s="99"/>
      <c r="W176" s="99"/>
      <c r="Y176" s="99"/>
      <c r="Z176" s="99"/>
      <c r="AA176" s="99"/>
      <c r="AB176" s="99"/>
      <c r="AC176" s="99"/>
      <c r="AD176" s="99"/>
      <c r="AE176" s="99"/>
      <c r="BG176" s="99"/>
      <c r="BH176" s="99"/>
      <c r="BI176" s="99"/>
      <c r="BJ176" s="99"/>
      <c r="BK176" s="99"/>
      <c r="BL176" s="99"/>
      <c r="BM176" s="99"/>
    </row>
    <row r="177" spans="11:65" x14ac:dyDescent="0.2">
      <c r="K177" s="99"/>
      <c r="L177" s="99"/>
      <c r="M177" s="99"/>
      <c r="N177" s="99"/>
      <c r="O177" s="99"/>
      <c r="Q177" s="99"/>
      <c r="R177" s="99"/>
      <c r="S177" s="99"/>
      <c r="T177" s="99"/>
      <c r="U177" s="99"/>
      <c r="V177" s="99"/>
      <c r="W177" s="99"/>
      <c r="Y177" s="99"/>
      <c r="Z177" s="99"/>
      <c r="AA177" s="99"/>
      <c r="AB177" s="99"/>
      <c r="AC177" s="99"/>
      <c r="AD177" s="99"/>
      <c r="AE177" s="99"/>
      <c r="BG177" s="99"/>
      <c r="BH177" s="99"/>
      <c r="BI177" s="99"/>
      <c r="BJ177" s="99"/>
      <c r="BK177" s="99"/>
      <c r="BL177" s="99"/>
      <c r="BM177" s="99"/>
    </row>
    <row r="178" spans="11:65" x14ac:dyDescent="0.2">
      <c r="K178" s="99"/>
      <c r="L178" s="99"/>
      <c r="M178" s="99"/>
      <c r="N178" s="99"/>
      <c r="O178" s="99"/>
      <c r="Q178" s="99"/>
      <c r="R178" s="99"/>
      <c r="S178" s="99"/>
      <c r="T178" s="99"/>
      <c r="U178" s="99"/>
      <c r="V178" s="99"/>
      <c r="W178" s="99"/>
      <c r="Y178" s="99"/>
      <c r="Z178" s="99"/>
      <c r="AA178" s="99"/>
      <c r="AB178" s="99"/>
      <c r="AC178" s="99"/>
      <c r="AD178" s="99"/>
      <c r="AE178" s="99"/>
      <c r="BG178" s="99"/>
      <c r="BH178" s="99"/>
      <c r="BI178" s="99"/>
      <c r="BJ178" s="99"/>
      <c r="BK178" s="99"/>
      <c r="BL178" s="99"/>
      <c r="BM178" s="99"/>
    </row>
    <row r="179" spans="11:65" x14ac:dyDescent="0.2">
      <c r="K179" s="99"/>
      <c r="L179" s="99"/>
      <c r="M179" s="99"/>
      <c r="N179" s="99"/>
      <c r="O179" s="99"/>
      <c r="Q179" s="99"/>
      <c r="R179" s="99"/>
      <c r="S179" s="99"/>
      <c r="T179" s="99"/>
      <c r="U179" s="99"/>
      <c r="V179" s="99"/>
      <c r="W179" s="99"/>
      <c r="Y179" s="99"/>
      <c r="Z179" s="99"/>
      <c r="AA179" s="99"/>
      <c r="AB179" s="99"/>
      <c r="AC179" s="99"/>
      <c r="AD179" s="99"/>
      <c r="AE179" s="99"/>
      <c r="BG179" s="99"/>
      <c r="BH179" s="99"/>
      <c r="BI179" s="99"/>
      <c r="BJ179" s="99"/>
      <c r="BK179" s="99"/>
      <c r="BL179" s="99"/>
      <c r="BM179" s="99"/>
    </row>
    <row r="180" spans="11:65" x14ac:dyDescent="0.2">
      <c r="K180" s="99"/>
      <c r="L180" s="99"/>
      <c r="M180" s="99"/>
      <c r="N180" s="99"/>
      <c r="O180" s="99"/>
      <c r="Q180" s="99"/>
      <c r="R180" s="99"/>
      <c r="S180" s="99"/>
      <c r="T180" s="99"/>
      <c r="U180" s="99"/>
      <c r="V180" s="99"/>
      <c r="W180" s="99"/>
      <c r="Y180" s="99"/>
      <c r="Z180" s="99"/>
      <c r="AA180" s="99"/>
      <c r="AB180" s="99"/>
      <c r="AC180" s="99"/>
      <c r="AD180" s="99"/>
      <c r="AE180" s="99"/>
      <c r="BG180" s="99"/>
      <c r="BH180" s="99"/>
      <c r="BI180" s="99"/>
      <c r="BJ180" s="99"/>
      <c r="BK180" s="99"/>
      <c r="BL180" s="99"/>
      <c r="BM180" s="99"/>
    </row>
    <row r="181" spans="11:65" x14ac:dyDescent="0.2">
      <c r="K181" s="99"/>
      <c r="L181" s="99"/>
      <c r="M181" s="99"/>
      <c r="N181" s="99"/>
      <c r="O181" s="99"/>
      <c r="Q181" s="99"/>
      <c r="R181" s="99"/>
      <c r="S181" s="99"/>
      <c r="T181" s="99"/>
      <c r="U181" s="99"/>
      <c r="V181" s="99"/>
      <c r="W181" s="99"/>
      <c r="Y181" s="99"/>
      <c r="Z181" s="99"/>
      <c r="AA181" s="99"/>
      <c r="AB181" s="99"/>
      <c r="AC181" s="99"/>
      <c r="AD181" s="99"/>
      <c r="AE181" s="99"/>
      <c r="BG181" s="99"/>
      <c r="BH181" s="99"/>
      <c r="BI181" s="99"/>
      <c r="BJ181" s="99"/>
      <c r="BK181" s="99"/>
      <c r="BL181" s="99"/>
      <c r="BM181" s="99"/>
    </row>
    <row r="182" spans="11:65" x14ac:dyDescent="0.2">
      <c r="K182" s="99"/>
      <c r="L182" s="99"/>
      <c r="M182" s="99"/>
      <c r="N182" s="99"/>
      <c r="O182" s="99"/>
      <c r="Q182" s="99"/>
      <c r="R182" s="99"/>
      <c r="S182" s="99"/>
      <c r="T182" s="99"/>
      <c r="U182" s="99"/>
      <c r="V182" s="99"/>
      <c r="W182" s="99"/>
      <c r="Y182" s="99"/>
      <c r="Z182" s="99"/>
      <c r="AA182" s="99"/>
      <c r="AB182" s="99"/>
      <c r="AC182" s="99"/>
      <c r="AD182" s="99"/>
      <c r="AE182" s="99"/>
      <c r="BG182" s="99"/>
      <c r="BH182" s="99"/>
      <c r="BI182" s="99"/>
      <c r="BJ182" s="99"/>
      <c r="BK182" s="99"/>
      <c r="BL182" s="99"/>
      <c r="BM182" s="99"/>
    </row>
    <row r="183" spans="11:65" x14ac:dyDescent="0.2">
      <c r="K183" s="99"/>
      <c r="L183" s="99"/>
      <c r="M183" s="99"/>
      <c r="N183" s="99"/>
      <c r="O183" s="99"/>
      <c r="Q183" s="99"/>
      <c r="R183" s="99"/>
      <c r="S183" s="99"/>
      <c r="T183" s="99"/>
      <c r="U183" s="99"/>
      <c r="V183" s="99"/>
      <c r="W183" s="99"/>
      <c r="Y183" s="99"/>
      <c r="Z183" s="99"/>
      <c r="AA183" s="99"/>
      <c r="AB183" s="99"/>
      <c r="AC183" s="99"/>
      <c r="AD183" s="99"/>
      <c r="AE183" s="99"/>
      <c r="BG183" s="99"/>
      <c r="BH183" s="99"/>
      <c r="BI183" s="99"/>
      <c r="BJ183" s="99"/>
      <c r="BK183" s="99"/>
      <c r="BL183" s="99"/>
      <c r="BM183" s="99"/>
    </row>
    <row r="184" spans="11:65" x14ac:dyDescent="0.2">
      <c r="K184" s="99"/>
      <c r="L184" s="99"/>
      <c r="M184" s="99"/>
      <c r="N184" s="99"/>
      <c r="O184" s="99"/>
      <c r="Q184" s="99"/>
      <c r="R184" s="99"/>
      <c r="S184" s="99"/>
      <c r="T184" s="99"/>
      <c r="U184" s="99"/>
      <c r="V184" s="99"/>
      <c r="W184" s="99"/>
      <c r="Y184" s="99"/>
      <c r="Z184" s="99"/>
      <c r="AA184" s="99"/>
      <c r="AB184" s="99"/>
      <c r="AC184" s="99"/>
      <c r="AD184" s="99"/>
      <c r="AE184" s="99"/>
      <c r="BG184" s="99"/>
      <c r="BH184" s="99"/>
      <c r="BI184" s="99"/>
      <c r="BJ184" s="99"/>
      <c r="BK184" s="99"/>
      <c r="BL184" s="99"/>
      <c r="BM184" s="99"/>
    </row>
    <row r="185" spans="11:65" x14ac:dyDescent="0.2">
      <c r="K185" s="99"/>
      <c r="L185" s="99"/>
      <c r="M185" s="99"/>
      <c r="N185" s="99"/>
      <c r="O185" s="99"/>
      <c r="Q185" s="99"/>
      <c r="R185" s="99"/>
      <c r="S185" s="99"/>
      <c r="T185" s="99"/>
      <c r="U185" s="99"/>
      <c r="V185" s="99"/>
      <c r="W185" s="99"/>
      <c r="Y185" s="99"/>
      <c r="Z185" s="99"/>
      <c r="AA185" s="99"/>
      <c r="AB185" s="99"/>
      <c r="AC185" s="99"/>
      <c r="AD185" s="99"/>
      <c r="AE185" s="99"/>
      <c r="BG185" s="99"/>
      <c r="BH185" s="99"/>
      <c r="BI185" s="99"/>
      <c r="BJ185" s="99"/>
      <c r="BK185" s="99"/>
      <c r="BL185" s="99"/>
      <c r="BM185" s="99"/>
    </row>
    <row r="186" spans="11:65" x14ac:dyDescent="0.2">
      <c r="K186" s="99"/>
      <c r="L186" s="99"/>
      <c r="M186" s="99"/>
      <c r="N186" s="99"/>
      <c r="O186" s="99"/>
      <c r="Q186" s="99"/>
      <c r="R186" s="99"/>
      <c r="S186" s="99"/>
      <c r="T186" s="99"/>
      <c r="U186" s="99"/>
      <c r="V186" s="99"/>
      <c r="W186" s="99"/>
      <c r="Y186" s="99"/>
      <c r="Z186" s="99"/>
      <c r="AA186" s="99"/>
      <c r="AB186" s="99"/>
      <c r="AC186" s="99"/>
      <c r="AD186" s="99"/>
      <c r="AE186" s="99"/>
      <c r="BG186" s="99"/>
      <c r="BH186" s="99"/>
      <c r="BI186" s="99"/>
      <c r="BJ186" s="99"/>
      <c r="BK186" s="99"/>
      <c r="BL186" s="99"/>
      <c r="BM186" s="99"/>
    </row>
    <row r="187" spans="11:65" x14ac:dyDescent="0.2">
      <c r="K187" s="99"/>
      <c r="L187" s="99"/>
      <c r="M187" s="99"/>
      <c r="N187" s="99"/>
      <c r="O187" s="99"/>
      <c r="Q187" s="99"/>
      <c r="R187" s="99"/>
      <c r="S187" s="99"/>
      <c r="T187" s="99"/>
      <c r="U187" s="99"/>
      <c r="V187" s="99"/>
      <c r="W187" s="99"/>
      <c r="Y187" s="99"/>
      <c r="Z187" s="99"/>
      <c r="AA187" s="99"/>
      <c r="AB187" s="99"/>
      <c r="AC187" s="99"/>
      <c r="AD187" s="99"/>
      <c r="AE187" s="99"/>
      <c r="BG187" s="99"/>
      <c r="BH187" s="99"/>
      <c r="BI187" s="99"/>
      <c r="BJ187" s="99"/>
      <c r="BK187" s="99"/>
      <c r="BL187" s="99"/>
      <c r="BM187" s="99"/>
    </row>
    <row r="188" spans="11:65" x14ac:dyDescent="0.2">
      <c r="K188" s="99"/>
      <c r="L188" s="99"/>
      <c r="M188" s="99"/>
      <c r="N188" s="99"/>
      <c r="O188" s="99"/>
      <c r="Q188" s="99"/>
      <c r="R188" s="99"/>
      <c r="S188" s="99"/>
      <c r="T188" s="99"/>
      <c r="U188" s="99"/>
      <c r="V188" s="99"/>
      <c r="W188" s="99"/>
      <c r="Y188" s="99"/>
      <c r="Z188" s="99"/>
      <c r="AA188" s="99"/>
      <c r="AB188" s="99"/>
      <c r="AC188" s="99"/>
      <c r="AD188" s="99"/>
      <c r="AE188" s="99"/>
      <c r="BG188" s="99"/>
      <c r="BH188" s="99"/>
      <c r="BI188" s="99"/>
      <c r="BJ188" s="99"/>
      <c r="BK188" s="99"/>
      <c r="BL188" s="99"/>
      <c r="BM188" s="99"/>
    </row>
    <row r="189" spans="11:65" x14ac:dyDescent="0.2">
      <c r="K189" s="99"/>
      <c r="L189" s="99"/>
      <c r="M189" s="99"/>
      <c r="N189" s="99"/>
      <c r="O189" s="99"/>
      <c r="Q189" s="99"/>
      <c r="R189" s="99"/>
      <c r="S189" s="99"/>
      <c r="T189" s="99"/>
      <c r="U189" s="99"/>
      <c r="V189" s="99"/>
      <c r="W189" s="99"/>
      <c r="Y189" s="99"/>
      <c r="Z189" s="99"/>
      <c r="AA189" s="99"/>
      <c r="AB189" s="99"/>
      <c r="AC189" s="99"/>
      <c r="AD189" s="99"/>
      <c r="AE189" s="99"/>
      <c r="BG189" s="99"/>
      <c r="BH189" s="99"/>
      <c r="BI189" s="99"/>
      <c r="BJ189" s="99"/>
      <c r="BK189" s="99"/>
      <c r="BL189" s="99"/>
      <c r="BM189" s="99"/>
    </row>
    <row r="190" spans="11:65" x14ac:dyDescent="0.2">
      <c r="K190" s="99"/>
      <c r="L190" s="99"/>
      <c r="M190" s="99"/>
      <c r="N190" s="99"/>
      <c r="O190" s="99"/>
      <c r="Q190" s="99"/>
      <c r="R190" s="99"/>
      <c r="S190" s="99"/>
      <c r="T190" s="99"/>
      <c r="U190" s="99"/>
      <c r="V190" s="99"/>
      <c r="W190" s="99"/>
      <c r="Y190" s="99"/>
      <c r="Z190" s="99"/>
      <c r="AA190" s="99"/>
      <c r="AB190" s="99"/>
      <c r="AC190" s="99"/>
      <c r="AD190" s="99"/>
      <c r="AE190" s="99"/>
      <c r="BG190" s="99"/>
      <c r="BH190" s="99"/>
      <c r="BI190" s="99"/>
      <c r="BJ190" s="99"/>
      <c r="BK190" s="99"/>
      <c r="BL190" s="99"/>
      <c r="BM190" s="99"/>
    </row>
    <row r="191" spans="11:65" x14ac:dyDescent="0.2">
      <c r="K191" s="99"/>
      <c r="L191" s="99"/>
      <c r="M191" s="99"/>
      <c r="N191" s="99"/>
      <c r="O191" s="99"/>
      <c r="Q191" s="99"/>
      <c r="R191" s="99"/>
      <c r="S191" s="99"/>
      <c r="T191" s="99"/>
      <c r="U191" s="99"/>
      <c r="V191" s="99"/>
      <c r="W191" s="99"/>
      <c r="Y191" s="99"/>
      <c r="Z191" s="99"/>
      <c r="AA191" s="99"/>
      <c r="AB191" s="99"/>
      <c r="AC191" s="99"/>
      <c r="AD191" s="99"/>
      <c r="AE191" s="99"/>
      <c r="BG191" s="99"/>
      <c r="BH191" s="99"/>
      <c r="BI191" s="99"/>
      <c r="BJ191" s="99"/>
      <c r="BK191" s="99"/>
      <c r="BL191" s="99"/>
      <c r="BM191" s="99"/>
    </row>
    <row r="192" spans="11:65" x14ac:dyDescent="0.2">
      <c r="K192" s="99"/>
      <c r="L192" s="99"/>
      <c r="M192" s="99"/>
      <c r="N192" s="99"/>
      <c r="O192" s="99"/>
      <c r="Q192" s="99"/>
      <c r="R192" s="99"/>
      <c r="S192" s="99"/>
      <c r="T192" s="99"/>
      <c r="U192" s="99"/>
      <c r="V192" s="99"/>
      <c r="W192" s="99"/>
      <c r="Y192" s="99"/>
      <c r="Z192" s="99"/>
      <c r="AA192" s="99"/>
      <c r="AB192" s="99"/>
      <c r="AC192" s="99"/>
      <c r="AD192" s="99"/>
      <c r="AE192" s="99"/>
      <c r="BG192" s="99"/>
      <c r="BH192" s="99"/>
      <c r="BI192" s="99"/>
      <c r="BJ192" s="99"/>
      <c r="BK192" s="99"/>
      <c r="BL192" s="99"/>
      <c r="BM192" s="99"/>
    </row>
    <row r="193" spans="11:65" x14ac:dyDescent="0.2">
      <c r="K193" s="99"/>
      <c r="L193" s="99"/>
      <c r="M193" s="99"/>
      <c r="N193" s="99"/>
      <c r="O193" s="99"/>
      <c r="Q193" s="99"/>
      <c r="R193" s="99"/>
      <c r="S193" s="99"/>
      <c r="T193" s="99"/>
      <c r="U193" s="99"/>
      <c r="V193" s="99"/>
      <c r="W193" s="99"/>
      <c r="Y193" s="99"/>
      <c r="Z193" s="99"/>
      <c r="AA193" s="99"/>
      <c r="AB193" s="99"/>
      <c r="AC193" s="99"/>
      <c r="AD193" s="99"/>
      <c r="AE193" s="99"/>
      <c r="BG193" s="99"/>
      <c r="BH193" s="99"/>
      <c r="BI193" s="99"/>
      <c r="BJ193" s="99"/>
      <c r="BK193" s="99"/>
      <c r="BL193" s="99"/>
      <c r="BM193" s="99"/>
    </row>
    <row r="194" spans="11:65" x14ac:dyDescent="0.2">
      <c r="K194" s="99"/>
      <c r="L194" s="99"/>
      <c r="M194" s="99"/>
      <c r="N194" s="99"/>
      <c r="O194" s="99"/>
      <c r="Q194" s="99"/>
      <c r="R194" s="99"/>
      <c r="S194" s="99"/>
      <c r="T194" s="99"/>
      <c r="U194" s="99"/>
      <c r="V194" s="99"/>
      <c r="W194" s="99"/>
      <c r="Y194" s="99"/>
      <c r="Z194" s="99"/>
      <c r="AA194" s="99"/>
      <c r="AB194" s="99"/>
      <c r="AC194" s="99"/>
      <c r="AD194" s="99"/>
      <c r="AE194" s="99"/>
      <c r="BG194" s="99"/>
      <c r="BH194" s="99"/>
      <c r="BI194" s="99"/>
      <c r="BJ194" s="99"/>
      <c r="BK194" s="99"/>
      <c r="BL194" s="99"/>
      <c r="BM194" s="99"/>
    </row>
  </sheetData>
  <sheetProtection algorithmName="SHA-512" hashValue="rtpcWTZ5sdKErY3o7fs8pLOhEVMg7Oar3meGfAxic68vcePvkcpF7v3Evk5N1nsWCpj6vWHNOrRn/mn3vHr1MQ==" saltValue="LjOr6f34mCtiUBLc9FEsfQ==" spinCount="100000" sheet="1" objects="1" scenarios="1" selectLockedCells="1"/>
  <mergeCells count="8">
    <mergeCell ref="Y2:AE2"/>
    <mergeCell ref="L30:O30"/>
    <mergeCell ref="K2:O2"/>
    <mergeCell ref="L27:O27"/>
    <mergeCell ref="AB27:AE27"/>
    <mergeCell ref="Q2:W2"/>
    <mergeCell ref="T27:W27"/>
    <mergeCell ref="T30:W30"/>
  </mergeCells>
  <conditionalFormatting sqref="L4:L25">
    <cfRule type="colorScale" priority="65">
      <colorScale>
        <cfvo type="num" val="0"/>
        <cfvo type="num" val="100*$L$28"/>
        <cfvo type="num" val="100*$L$29"/>
        <color theme="0"/>
        <color rgb="FFFFEB84"/>
        <color theme="5" tint="0.39997558519241921"/>
      </colorScale>
    </cfRule>
  </conditionalFormatting>
  <conditionalFormatting sqref="M4:M25">
    <cfRule type="colorScale" priority="64">
      <colorScale>
        <cfvo type="num" val="0"/>
        <cfvo type="num" val="$M$28*100"/>
        <cfvo type="num" val="$M$29*100"/>
        <color theme="0"/>
        <color rgb="FFFFEB84"/>
        <color theme="5" tint="0.39997558519241921"/>
      </colorScale>
    </cfRule>
  </conditionalFormatting>
  <conditionalFormatting sqref="N4:N25">
    <cfRule type="colorScale" priority="63">
      <colorScale>
        <cfvo type="num" val="0"/>
        <cfvo type="num" val="$N$28*100"/>
        <cfvo type="num" val="$N$29*100"/>
        <color theme="0"/>
        <color rgb="FFFFEB84"/>
        <color theme="5" tint="0.39997558519241921"/>
      </colorScale>
    </cfRule>
  </conditionalFormatting>
  <conditionalFormatting sqref="O4:O25">
    <cfRule type="colorScale" priority="62">
      <colorScale>
        <cfvo type="num" val="0"/>
        <cfvo type="num" val="$O$28*1000"/>
        <cfvo type="num" val="$O$29*1000"/>
        <color theme="0"/>
        <color rgb="FFFFEB84"/>
        <color theme="5" tint="0.39997558519241921"/>
      </colorScale>
    </cfRule>
  </conditionalFormatting>
  <conditionalFormatting sqref="L28:L29 L32 T32">
    <cfRule type="colorScale" priority="61">
      <colorScale>
        <cfvo type="num" val="0"/>
        <cfvo type="num" val="$L$28"/>
        <cfvo type="num" val="$L$29"/>
        <color theme="0"/>
        <color rgb="FFFFEB84"/>
        <color theme="5" tint="0.39997558519241921"/>
      </colorScale>
    </cfRule>
  </conditionalFormatting>
  <conditionalFormatting sqref="M28:M29 M32 U32">
    <cfRule type="colorScale" priority="60">
      <colorScale>
        <cfvo type="num" val="0"/>
        <cfvo type="num" val="$M$28"/>
        <cfvo type="num" val="$M$29"/>
        <color theme="0"/>
        <color rgb="FFFFEB84"/>
        <color theme="5" tint="0.39997558519241921"/>
      </colorScale>
    </cfRule>
  </conditionalFormatting>
  <conditionalFormatting sqref="N28:N29 N32 V32">
    <cfRule type="colorScale" priority="59">
      <colorScale>
        <cfvo type="num" val="0"/>
        <cfvo type="num" val="$N$28"/>
        <cfvo type="num" val="$N$29"/>
        <color theme="0"/>
        <color rgb="FFFFEB84"/>
        <color theme="5" tint="0.39997558519241921"/>
      </colorScale>
    </cfRule>
  </conditionalFormatting>
  <conditionalFormatting sqref="O28:O29 O32 W32">
    <cfRule type="colorScale" priority="58">
      <colorScale>
        <cfvo type="num" val="0"/>
        <cfvo type="num" val="$O$28"/>
        <cfvo type="num" val="$O$29"/>
        <color theme="0"/>
        <color rgb="FFFFEB84"/>
        <color theme="5" tint="0.39997558519241921"/>
      </colorScale>
    </cfRule>
  </conditionalFormatting>
  <conditionalFormatting sqref="T4:T25">
    <cfRule type="colorScale" priority="33">
      <colorScale>
        <cfvo type="num" val="0"/>
        <cfvo type="num" val="100*$L$28"/>
        <cfvo type="num" val="100*$L$29"/>
        <color theme="0"/>
        <color rgb="FFFFEB84"/>
        <color theme="5" tint="0.39997558519241921"/>
      </colorScale>
    </cfRule>
  </conditionalFormatting>
  <conditionalFormatting sqref="U4:U25">
    <cfRule type="colorScale" priority="32">
      <colorScale>
        <cfvo type="num" val="0"/>
        <cfvo type="num" val="$M$28*100"/>
        <cfvo type="num" val="$M$29*100"/>
        <color theme="0"/>
        <color rgb="FFFFEB84"/>
        <color theme="5" tint="0.39997558519241921"/>
      </colorScale>
    </cfRule>
  </conditionalFormatting>
  <conditionalFormatting sqref="V4:V25">
    <cfRule type="colorScale" priority="31">
      <colorScale>
        <cfvo type="num" val="0"/>
        <cfvo type="num" val="$N$28*100"/>
        <cfvo type="num" val="$N$29*100"/>
        <color theme="0"/>
        <color rgb="FFFFEB84"/>
        <color theme="5" tint="0.39997558519241921"/>
      </colorScale>
    </cfRule>
  </conditionalFormatting>
  <conditionalFormatting sqref="W4:W25">
    <cfRule type="colorScale" priority="30">
      <colorScale>
        <cfvo type="num" val="0"/>
        <cfvo type="num" val="$O$28*1000"/>
        <cfvo type="num" val="$O$29*1000"/>
        <color theme="0"/>
        <color rgb="FFFFEB84"/>
        <color theme="5" tint="0.39997558519241921"/>
      </colorScale>
    </cfRule>
  </conditionalFormatting>
  <conditionalFormatting sqref="AB4:AB25">
    <cfRule type="colorScale" priority="29">
      <colorScale>
        <cfvo type="num" val="0"/>
        <cfvo type="num" val="100*$L$28"/>
        <cfvo type="num" val="100*$L$29"/>
        <color theme="0"/>
        <color rgb="FFFFEB84"/>
        <color theme="5" tint="0.39997558519241921"/>
      </colorScale>
    </cfRule>
  </conditionalFormatting>
  <conditionalFormatting sqref="AC4:AC25">
    <cfRule type="colorScale" priority="28">
      <colorScale>
        <cfvo type="num" val="0"/>
        <cfvo type="num" val="$M$28*100"/>
        <cfvo type="num" val="$M$29*100"/>
        <color theme="0"/>
        <color rgb="FFFFEB84"/>
        <color theme="5" tint="0.39997558519241921"/>
      </colorScale>
    </cfRule>
  </conditionalFormatting>
  <conditionalFormatting sqref="AD4:AD25">
    <cfRule type="colorScale" priority="27">
      <colorScale>
        <cfvo type="num" val="0"/>
        <cfvo type="num" val="$N$28*100"/>
        <cfvo type="num" val="$N$29*100"/>
        <color theme="0"/>
        <color rgb="FFFFEB84"/>
        <color theme="5" tint="0.39997558519241921"/>
      </colorScale>
    </cfRule>
  </conditionalFormatting>
  <conditionalFormatting sqref="AE4:AE25">
    <cfRule type="colorScale" priority="26">
      <colorScale>
        <cfvo type="num" val="0"/>
        <cfvo type="num" val="$O$28*1000"/>
        <cfvo type="num" val="$O$29*1000"/>
        <color theme="0"/>
        <color rgb="FFFFEB84"/>
        <color theme="5" tint="0.39997558519241921"/>
      </colorScale>
    </cfRule>
  </conditionalFormatting>
  <conditionalFormatting sqref="AB32">
    <cfRule type="colorScale" priority="25">
      <colorScale>
        <cfvo type="num" val="0"/>
        <cfvo type="num" val="$L$28"/>
        <cfvo type="num" val="$L$29"/>
        <color theme="0"/>
        <color rgb="FFFFEB84"/>
        <color theme="5" tint="0.39997558519241921"/>
      </colorScale>
    </cfRule>
  </conditionalFormatting>
  <conditionalFormatting sqref="AC32">
    <cfRule type="colorScale" priority="24">
      <colorScale>
        <cfvo type="num" val="0"/>
        <cfvo type="num" val="$M$28"/>
        <cfvo type="num" val="$M$29"/>
        <color theme="0"/>
        <color rgb="FFFFEB84"/>
        <color theme="5" tint="0.39997558519241921"/>
      </colorScale>
    </cfRule>
  </conditionalFormatting>
  <conditionalFormatting sqref="AD32">
    <cfRule type="colorScale" priority="23">
      <colorScale>
        <cfvo type="num" val="0"/>
        <cfvo type="num" val="$N$28"/>
        <cfvo type="num" val="$N$29"/>
        <color theme="0"/>
        <color rgb="FFFFEB84"/>
        <color theme="5" tint="0.39997558519241921"/>
      </colorScale>
    </cfRule>
  </conditionalFormatting>
  <conditionalFormatting sqref="AE32">
    <cfRule type="colorScale" priority="22">
      <colorScale>
        <cfvo type="num" val="0"/>
        <cfvo type="num" val="$O$28"/>
        <cfvo type="num" val="$O$29"/>
        <color theme="0"/>
        <color rgb="FFFFEB84"/>
        <color theme="5" tint="0.39997558519241921"/>
      </colorScale>
    </cfRule>
  </conditionalFormatting>
  <conditionalFormatting sqref="T28:T29">
    <cfRule type="colorScale" priority="21">
      <colorScale>
        <cfvo type="num" val="0"/>
        <cfvo type="num" val="$L$28"/>
        <cfvo type="num" val="$L$29"/>
        <color theme="0"/>
        <color rgb="FFFFEB84"/>
        <color theme="5" tint="0.39997558519241921"/>
      </colorScale>
    </cfRule>
  </conditionalFormatting>
  <conditionalFormatting sqref="U28:U29">
    <cfRule type="colorScale" priority="20">
      <colorScale>
        <cfvo type="num" val="0"/>
        <cfvo type="num" val="$M$28"/>
        <cfvo type="num" val="$M$29"/>
        <color theme="0"/>
        <color rgb="FFFFEB84"/>
        <color theme="5" tint="0.39997558519241921"/>
      </colorScale>
    </cfRule>
  </conditionalFormatting>
  <conditionalFormatting sqref="V28:V29">
    <cfRule type="colorScale" priority="19">
      <colorScale>
        <cfvo type="num" val="0"/>
        <cfvo type="num" val="$N$28"/>
        <cfvo type="num" val="$N$29"/>
        <color theme="0"/>
        <color rgb="FFFFEB84"/>
        <color theme="5" tint="0.39997558519241921"/>
      </colorScale>
    </cfRule>
  </conditionalFormatting>
  <conditionalFormatting sqref="W28:W29">
    <cfRule type="colorScale" priority="18">
      <colorScale>
        <cfvo type="num" val="0"/>
        <cfvo type="num" val="$O$28"/>
        <cfvo type="num" val="$O$29"/>
        <color theme="0"/>
        <color rgb="FFFFEB84"/>
        <color theme="5" tint="0.39997558519241921"/>
      </colorScale>
    </cfRule>
  </conditionalFormatting>
  <conditionalFormatting sqref="AB28:AB29">
    <cfRule type="colorScale" priority="17">
      <colorScale>
        <cfvo type="num" val="0"/>
        <cfvo type="num" val="$L$28"/>
        <cfvo type="num" val="$L$29"/>
        <color theme="0"/>
        <color rgb="FFFFEB84"/>
        <color theme="5" tint="0.39997558519241921"/>
      </colorScale>
    </cfRule>
  </conditionalFormatting>
  <conditionalFormatting sqref="AC28:AC29">
    <cfRule type="colorScale" priority="16">
      <colorScale>
        <cfvo type="num" val="0"/>
        <cfvo type="num" val="$M$28"/>
        <cfvo type="num" val="$M$29"/>
        <color theme="0"/>
        <color rgb="FFFFEB84"/>
        <color theme="5" tint="0.39997558519241921"/>
      </colorScale>
    </cfRule>
  </conditionalFormatting>
  <conditionalFormatting sqref="AD28:AD29">
    <cfRule type="colorScale" priority="15">
      <colorScale>
        <cfvo type="num" val="0"/>
        <cfvo type="num" val="$N$28"/>
        <cfvo type="num" val="$N$29"/>
        <color theme="0"/>
        <color rgb="FFFFEB84"/>
        <color theme="5" tint="0.39997558519241921"/>
      </colorScale>
    </cfRule>
  </conditionalFormatting>
  <conditionalFormatting sqref="AE28:AE29">
    <cfRule type="colorScale" priority="14">
      <colorScale>
        <cfvo type="num" val="0"/>
        <cfvo type="num" val="$O$28"/>
        <cfvo type="num" val="$O$29"/>
        <color theme="0"/>
        <color rgb="FFFFEB84"/>
        <color theme="5" tint="0.39997558519241921"/>
      </colorScale>
    </cfRule>
  </conditionalFormatting>
  <conditionalFormatting sqref="D43">
    <cfRule type="cellIs" dxfId="20" priority="13" operator="equal">
      <formula>0</formula>
    </cfRule>
  </conditionalFormatting>
  <conditionalFormatting sqref="D36">
    <cfRule type="cellIs" dxfId="19" priority="11" operator="equal">
      <formula>0</formula>
    </cfRule>
  </conditionalFormatting>
  <conditionalFormatting sqref="H4:H5">
    <cfRule type="cellIs" dxfId="18" priority="7" operator="equal">
      <formula>0</formula>
    </cfRule>
  </conditionalFormatting>
  <conditionalFormatting sqref="D40:D42">
    <cfRule type="cellIs" dxfId="17" priority="6" operator="equal">
      <formula>0</formula>
    </cfRule>
  </conditionalFormatting>
  <conditionalFormatting sqref="D33:D35">
    <cfRule type="cellIs" dxfId="16" priority="5" operator="equal">
      <formula>0</formula>
    </cfRule>
  </conditionalFormatting>
  <conditionalFormatting sqref="H11:H12">
    <cfRule type="cellIs" dxfId="15" priority="4" operator="equal">
      <formula>0</formula>
    </cfRule>
  </conditionalFormatting>
  <conditionalFormatting sqref="H16:H17">
    <cfRule type="cellIs" dxfId="14" priority="3" operator="equal">
      <formula>0</formula>
    </cfRule>
  </conditionalFormatting>
  <conditionalFormatting sqref="D39">
    <cfRule type="cellIs" dxfId="13" priority="2" operator="equal">
      <formula>0</formula>
    </cfRule>
  </conditionalFormatting>
  <conditionalFormatting sqref="D32">
    <cfRule type="cellIs" dxfId="12" priority="1" operator="equal">
      <formula>0</formula>
    </cfRule>
  </conditionalFormatting>
  <dataValidations count="1">
    <dataValidation type="list" errorStyle="information" showInputMessage="1" showErrorMessage="1" errorTitle="Onjuiste keuze" error="Selecteer een van de mogelijke waarden." sqref="D3" xr:uid="{00000000-0002-0000-0100-000000000000}">
      <formula1>"Nee,Ontslagcriterium,Ontslagtijdstip"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1000000}">
          <x14:formula1>
            <xm:f>Inputparameters!$C$2:$C$19</xm:f>
          </x14:formula1>
          <xm:sqref>D13 D2 D11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2"/>
  <dimension ref="A1:DK245"/>
  <sheetViews>
    <sheetView zoomScaleNormal="100" workbookViewId="0">
      <selection activeCell="D2" sqref="D2"/>
    </sheetView>
  </sheetViews>
  <sheetFormatPr defaultColWidth="8.85546875" defaultRowHeight="11.25" x14ac:dyDescent="0.2"/>
  <cols>
    <col min="1" max="1" width="106" style="99" customWidth="1"/>
    <col min="2" max="2" width="1.85546875" style="99" customWidth="1"/>
    <col min="3" max="3" width="26.42578125" style="63" customWidth="1"/>
    <col min="4" max="4" width="34" style="63" customWidth="1"/>
    <col min="5" max="5" width="16" style="63" customWidth="1"/>
    <col min="6" max="6" width="1.85546875" style="99" customWidth="1"/>
    <col min="7" max="7" width="37.85546875" style="63" customWidth="1"/>
    <col min="8" max="8" width="10" style="63" customWidth="1"/>
    <col min="9" max="9" width="5.7109375" style="63" customWidth="1"/>
    <col min="10" max="10" width="1.7109375" style="99" customWidth="1"/>
    <col min="11" max="11" width="13" style="63" customWidth="1"/>
    <col min="12" max="12" width="35.140625" style="63" customWidth="1"/>
    <col min="13" max="115" width="9.140625" style="99"/>
    <col min="116" max="16384" width="8.85546875" style="63"/>
  </cols>
  <sheetData>
    <row r="1" spans="3:12" s="99" customFormat="1" x14ac:dyDescent="0.2"/>
    <row r="2" spans="3:12" ht="12.75" x14ac:dyDescent="0.25">
      <c r="C2" s="166" t="s">
        <v>0</v>
      </c>
      <c r="D2" s="174" t="s">
        <v>34</v>
      </c>
      <c r="E2" s="166"/>
      <c r="G2" s="166" t="s">
        <v>174</v>
      </c>
      <c r="H2" s="166"/>
      <c r="I2" s="166"/>
      <c r="K2" s="166" t="s">
        <v>175</v>
      </c>
      <c r="L2" s="166"/>
    </row>
    <row r="3" spans="3:12" x14ac:dyDescent="0.2">
      <c r="C3" s="166" t="s">
        <v>23</v>
      </c>
      <c r="D3" s="174"/>
      <c r="E3" s="166" t="s">
        <v>7</v>
      </c>
      <c r="G3" s="166" t="s">
        <v>0</v>
      </c>
      <c r="H3" s="167">
        <f>IF($D38="tijd",IF(OR(ISNUMBER($D40)=FALSE,$D20&lt;$D40),$D16*EXP(-($D22+$D39)*$D20),IF(OR(ISNUMBER($D42)=FALSE,$D20&lt;$D42),$D16*EXP(-($D39-$D41)*$D40)*EXP(-($D22+$D41)*$D20),$D16*EXP(-($D39-$D41)*$D40)*EXP(-($D41-$D43)*$D42)*EXP(-($D22+$D43)*$D20))),$D16*($D40*EXP(-($D22+$D39)*$D20)+$D42*EXP(-($D22+$D41)*$D20)+$D44*EXP(-($D22+$D43)*$D20)))</f>
        <v>3.0758764521428303</v>
      </c>
      <c r="I3" s="166" t="s">
        <v>7</v>
      </c>
      <c r="K3" s="167">
        <f>IF($D38="tijd",IF(OR(ISNUMBER($D40)=FALSE,$D20+$D19&lt;$D40),$D16*EXP(-($D22+$D39)*($D20+$D19)),IF(OR(ISNUMBER($D42)=FALSE,$D20+$D19&lt;$D42),$D16*EXP(-($D39-$D41)*$D40)*EXP(-($D22+$D41)*($D20+$D19)),$D16*EXP(-($D39-$D41)*$D40)*EXP(-($D41-$D43)*$D42)*EXP(-($D22+$D43)*($D20+$D19)))),$D16*($D40*EXP(-($D22+$D39)*($D20+$D19))+$D42*EXP(-($D22+$D41)*($D20+$D19))+$D44*EXP(-($D22+$D43)*($D20+$D19))))</f>
        <v>2.0416978604392151</v>
      </c>
      <c r="L3" s="166" t="s">
        <v>7</v>
      </c>
    </row>
    <row r="4" spans="3:12" x14ac:dyDescent="0.2">
      <c r="C4" s="166" t="s">
        <v>14</v>
      </c>
      <c r="D4" s="174" t="s">
        <v>25</v>
      </c>
      <c r="E4" s="166"/>
      <c r="G4" s="166" t="str">
        <f>IF($D$4="Geen verontreiniging","","Verontreiniging #1")</f>
        <v/>
      </c>
      <c r="H4" s="167">
        <f>IF($D4="Geen verontreiniging",0,IF($D38="tijd",IF(OR(ISNUMBER($D40)=FALSE,$D20&lt;$D40),$D27*EXP(-($D28+$D39)*$D20),IF(OR(ISNUMBER($D42)=FALSE,$D20&lt;$D42),$D27*EXP(-($D39-$D41)*$D40)*EXP(-($D28+$D41)*$D20),$D27*EXP(-($D39-$D41)*$D40)*EXP(-($D41-$D43)*$D42)*EXP(-($D28+$D43)*$D20))),$D27*($D40*EXP(-($D28+$D39)*$D20)+$D42*EXP(-($D28+$D41)*$D20)+$D44*EXP(-($D28+$D43)*$D20))))</f>
        <v>0</v>
      </c>
      <c r="I4" s="166" t="str">
        <f>IF($D$4="Geen verontreiniging","","GBq")</f>
        <v/>
      </c>
      <c r="K4" s="167">
        <f>IF($D4="Geen verontreiniging",0,IF($D38="tijd",IF(OR(ISNUMBER($D40)=FALSE,$D20+$D19&lt;$D40),$D27*EXP(-($D28+$D39)*($D20+$D19)),IF(OR(ISNUMBER($D42)=FALSE,$D20+$D19&lt;$D42),$D27*EXP(-($D39-$D41)*$D40)*EXP(-($D28+$D41)*($D20+$D19)),$D27*EXP(-($D39-$D41)*$D40)*EXP(-($D41-$D43)*$D42)*EXP(-($D28+$D43)*($D20+$D19)))),$D27*($D40*EXP(-($D28+$D39)*($D20+$D19))+$D42*EXP(-($D28+$D41)*($D20+$D19))+$D44*EXP(-($D28+$D43)*($D20+$D19)))))</f>
        <v>0</v>
      </c>
      <c r="L4" s="166" t="str">
        <f>IF($D$4="Geen verontreiniging","","GBq")</f>
        <v/>
      </c>
    </row>
    <row r="5" spans="3:12" x14ac:dyDescent="0.2">
      <c r="C5" s="166" t="str">
        <f>IF(D4="Geen verontreiniging","","Activiteit verontreiniging #1")</f>
        <v/>
      </c>
      <c r="D5" s="174"/>
      <c r="E5" s="166" t="str">
        <f>IF(D4="Geen verontreiniging","","GBq")</f>
        <v/>
      </c>
      <c r="G5" s="166" t="str">
        <f>IF($D$6="Geen verontreiniging","","Verontreiniging #2")</f>
        <v/>
      </c>
      <c r="H5" s="167">
        <f>IF($D6="Geen verontreiniging",0,IF($D38="tijd",IF(OR(ISNUMBER($D40)=FALSE,$D20&lt;$D40),$D33*EXP(-($D34+$D39)*$D20),IF(OR(ISNUMBER($D42)=FALSE,$D20&lt;$D42),$D33*EXP(-($D39-$D41)*$D40)*EXP(-($D34+$D41)*$D20),$D33*EXP(-($D39-$D41)*$D40)*EXP(-($D41-$D43)*$D42)*EXP(-($D34+$D43)*$D20))),$D33*($D40*EXP(-($D34+$D39)*$D20)+$D42*EXP(-($D34+$D41)*$D20)+$D44*EXP(-($D34+$D43)*$D20))))</f>
        <v>0</v>
      </c>
      <c r="I5" s="166" t="str">
        <f>IF($D$6="Geen verontreiniging","","GBq")</f>
        <v/>
      </c>
      <c r="K5" s="167">
        <f>IF($D6="Geen verontreiniging",0,IF($D38="tijd",IF(OR(ISNUMBER($D40)=FALSE,$D20+$D19&lt;$D40),$D33*EXP(-($D34+$D39)*($D20+$D19)),IF(OR(ISNUMBER($D42)=FALSE,$D20+$D19&lt;$D42),$D33*EXP(-($D39-$D41)*$D40)*EXP(-($D34+$D41)*($D20+$D19)),$D33*EXP(-($D39-$D41)*$D40)*EXP(-($D41-$D43)*$D42)*EXP(-($D34+$D43)*($D20+$D19)))),$D33*($D40*EXP(-($D34+$D39)*($D20+$D19))+$D42*EXP(-($D34+$D41)*($D20+$D19))+$D44*EXP(-($D34+$D43)*($D20+$D19)))))</f>
        <v>0</v>
      </c>
      <c r="L5" s="166" t="str">
        <f>IF($D$6="Geen verontreiniging","","GBq")</f>
        <v/>
      </c>
    </row>
    <row r="6" spans="3:12" x14ac:dyDescent="0.2">
      <c r="C6" s="166" t="s">
        <v>16</v>
      </c>
      <c r="D6" s="174" t="s">
        <v>25</v>
      </c>
      <c r="E6" s="166"/>
      <c r="G6" s="99"/>
      <c r="H6" s="99"/>
      <c r="I6" s="99"/>
      <c r="K6" s="99"/>
      <c r="L6" s="99"/>
    </row>
    <row r="7" spans="3:12" ht="12.75" x14ac:dyDescent="0.25">
      <c r="C7" s="166" t="str">
        <f>IF(D6="Geen verontreiniging","","Activiteit verontreiniging #1")</f>
        <v/>
      </c>
      <c r="D7" s="174"/>
      <c r="E7" s="166" t="str">
        <f>IF(D6="Geen verontreiniging","","GBq")</f>
        <v/>
      </c>
      <c r="G7" s="166" t="s">
        <v>176</v>
      </c>
      <c r="H7" s="166"/>
      <c r="I7" s="166"/>
      <c r="K7" s="99"/>
      <c r="L7" s="168"/>
    </row>
    <row r="8" spans="3:12" x14ac:dyDescent="0.2">
      <c r="C8" s="166"/>
      <c r="D8" s="174"/>
      <c r="E8" s="166"/>
      <c r="G8" s="166" t="s">
        <v>0</v>
      </c>
      <c r="H8" s="169">
        <f>$H$3*EXP(-$D$22*$D$11)-$K$3</f>
        <v>1.0341785917036153</v>
      </c>
      <c r="I8" s="166" t="s">
        <v>7</v>
      </c>
      <c r="K8" s="99"/>
      <c r="L8" s="168"/>
    </row>
    <row r="9" spans="3:12" ht="12.75" x14ac:dyDescent="0.25">
      <c r="C9" s="166" t="s">
        <v>177</v>
      </c>
      <c r="D9" s="174"/>
      <c r="E9" s="166" t="s">
        <v>37</v>
      </c>
      <c r="G9" s="166" t="str">
        <f>IF($D$4="Geen verontreiniging","","Verontreiniging #1")</f>
        <v/>
      </c>
      <c r="H9" s="169">
        <f>$H$4*EXP(-$D$28*$D$11)-$K$4</f>
        <v>0</v>
      </c>
      <c r="I9" s="166" t="str">
        <f>IF($D$4="Geen verontreiniging","","GBq")</f>
        <v/>
      </c>
      <c r="K9" s="99"/>
      <c r="L9" s="168"/>
    </row>
    <row r="10" spans="3:12" ht="12.75" x14ac:dyDescent="0.25">
      <c r="C10" s="166" t="s">
        <v>178</v>
      </c>
      <c r="D10" s="175"/>
      <c r="E10" s="166" t="s">
        <v>138</v>
      </c>
      <c r="G10" s="166" t="str">
        <f>IF($D$6="Geen verontreiniging","","Verontreiniging #2")</f>
        <v/>
      </c>
      <c r="H10" s="169">
        <f>$H$5*EXP(-$D$34*$D$11)-$K$5</f>
        <v>0</v>
      </c>
      <c r="I10" s="166" t="str">
        <f>IF($D$6="Geen verontreiniging","","GBq")</f>
        <v/>
      </c>
      <c r="K10" s="99"/>
      <c r="L10" s="99"/>
    </row>
    <row r="11" spans="3:12" ht="12.75" x14ac:dyDescent="0.25">
      <c r="C11" s="166" t="s">
        <v>179</v>
      </c>
      <c r="D11" s="174"/>
      <c r="E11" s="166" t="s">
        <v>38</v>
      </c>
      <c r="G11" s="99"/>
      <c r="H11" s="99"/>
      <c r="I11" s="99"/>
      <c r="K11" s="99"/>
      <c r="L11" s="99"/>
    </row>
    <row r="12" spans="3:12" ht="12.75" x14ac:dyDescent="0.25">
      <c r="C12" s="166" t="s">
        <v>180</v>
      </c>
      <c r="D12" s="174">
        <v>1</v>
      </c>
      <c r="E12" s="166" t="s">
        <v>38</v>
      </c>
      <c r="G12" s="166" t="s">
        <v>39</v>
      </c>
      <c r="H12" s="166"/>
      <c r="I12" s="166"/>
      <c r="K12" s="99"/>
      <c r="L12" s="99"/>
    </row>
    <row r="13" spans="3:12" x14ac:dyDescent="0.2">
      <c r="C13" s="99"/>
      <c r="D13" s="99"/>
      <c r="E13" s="99"/>
      <c r="G13" s="166" t="s">
        <v>0</v>
      </c>
      <c r="H13" s="167">
        <f>$H$8*($D$17/($D$18*$D$19))</f>
        <v>2.0683571834072305E-4</v>
      </c>
      <c r="I13" s="166" t="s">
        <v>7</v>
      </c>
      <c r="K13" s="99"/>
      <c r="L13" s="99"/>
    </row>
    <row r="14" spans="3:12" x14ac:dyDescent="0.2">
      <c r="C14" s="166" t="s">
        <v>27</v>
      </c>
      <c r="D14" s="166"/>
      <c r="E14" s="166"/>
      <c r="G14" s="166" t="str">
        <f>IF($D$4="Geen verontreiniging","","Verontreiniging #1")</f>
        <v/>
      </c>
      <c r="H14" s="167">
        <f>$H$9*($D$17/($D$18*$D$19))</f>
        <v>0</v>
      </c>
      <c r="I14" s="166" t="str">
        <f>IF(D26="Geen verontreiniging","","GBq")</f>
        <v/>
      </c>
      <c r="K14" s="99"/>
      <c r="L14" s="99"/>
    </row>
    <row r="15" spans="3:12" x14ac:dyDescent="0.2">
      <c r="C15" s="166" t="s">
        <v>0</v>
      </c>
      <c r="D15" s="166" t="str">
        <f>D2</f>
        <v>Sm-153 EDTMP</v>
      </c>
      <c r="E15" s="166"/>
      <c r="G15" s="166" t="str">
        <f>IF($D$6="Geen verontreiniging","","Verontreiniging #2")</f>
        <v/>
      </c>
      <c r="H15" s="167">
        <f>$H$10*($D$17/($D$18*$D$19))</f>
        <v>0</v>
      </c>
      <c r="I15" s="166" t="str">
        <f>IF(D32="Geen verontreiniging","","GBq")</f>
        <v/>
      </c>
      <c r="K15" s="99"/>
      <c r="L15" s="99"/>
    </row>
    <row r="16" spans="3:12" x14ac:dyDescent="0.2">
      <c r="C16" s="166" t="s">
        <v>23</v>
      </c>
      <c r="D16" s="166">
        <f>IF(D3="",VLOOKUP($D$15,Inputparameters!$C$2:$S$100,2,FALSE),D3)</f>
        <v>3.7</v>
      </c>
      <c r="E16" s="166" t="s">
        <v>7</v>
      </c>
      <c r="G16" s="99"/>
      <c r="H16" s="99"/>
      <c r="I16" s="99"/>
      <c r="K16" s="99"/>
      <c r="L16" s="99"/>
    </row>
    <row r="17" spans="3:12" ht="13.5" x14ac:dyDescent="0.25">
      <c r="C17" s="166" t="s">
        <v>177</v>
      </c>
      <c r="D17" s="166">
        <f>IF(OR(D9="",ISNUMBER(D9)=FALSE),0.05,D9)</f>
        <v>0.05</v>
      </c>
      <c r="E17" s="166" t="s">
        <v>37</v>
      </c>
      <c r="G17" s="166" t="s">
        <v>40</v>
      </c>
      <c r="H17" s="169">
        <f>1000000*(H13*D23+H14*D29+H15*D35)</f>
        <v>320.59536342812072</v>
      </c>
      <c r="I17" s="166" t="s">
        <v>181</v>
      </c>
      <c r="K17" s="99"/>
      <c r="L17" s="99"/>
    </row>
    <row r="18" spans="3:12" ht="13.5" x14ac:dyDescent="0.25">
      <c r="C18" s="166" t="s">
        <v>178</v>
      </c>
      <c r="D18" s="170">
        <f>IF(OR(D10="",ISNUMBER(D10)=FALSE),1000/24,D10)</f>
        <v>41.666666666666664</v>
      </c>
      <c r="E18" s="166" t="s">
        <v>138</v>
      </c>
      <c r="G18" s="166" t="s">
        <v>41</v>
      </c>
      <c r="H18" s="197">
        <f>0.1*H17</f>
        <v>32.059536342812073</v>
      </c>
      <c r="I18" s="198" t="s">
        <v>181</v>
      </c>
      <c r="K18" s="99"/>
      <c r="L18" s="99"/>
    </row>
    <row r="19" spans="3:12" ht="12.75" x14ac:dyDescent="0.25">
      <c r="C19" s="166" t="s">
        <v>179</v>
      </c>
      <c r="D19" s="166">
        <f>IF(OR(D11="",ISNUMBER(D11)=FALSE),6,D11)</f>
        <v>6</v>
      </c>
      <c r="E19" s="166" t="s">
        <v>38</v>
      </c>
      <c r="G19" s="166" t="s">
        <v>42</v>
      </c>
      <c r="H19" s="199">
        <f>1000000000*($H$13*$D$24+$H$14*$D$30+$H$15*$D$36)*1000000*0.1</f>
        <v>15.305843157213509</v>
      </c>
      <c r="I19" s="198" t="s">
        <v>43</v>
      </c>
      <c r="K19" s="99"/>
      <c r="L19" s="99"/>
    </row>
    <row r="20" spans="3:12" ht="12.75" x14ac:dyDescent="0.25">
      <c r="C20" s="166" t="s">
        <v>180</v>
      </c>
      <c r="D20" s="166">
        <f>IF(OR(D12="",ISNUMBER(D12)=FALSE),0,D12)</f>
        <v>1</v>
      </c>
      <c r="E20" s="166" t="s">
        <v>38</v>
      </c>
      <c r="G20" s="99"/>
      <c r="H20" s="99"/>
      <c r="I20" s="99"/>
      <c r="K20" s="99"/>
      <c r="L20" s="99"/>
    </row>
    <row r="21" spans="3:12" x14ac:dyDescent="0.2">
      <c r="C21" s="166"/>
      <c r="D21" s="166"/>
      <c r="E21" s="166"/>
      <c r="G21" s="99"/>
      <c r="H21" s="99"/>
      <c r="I21" s="99"/>
      <c r="K21" s="99"/>
      <c r="L21" s="99"/>
    </row>
    <row r="22" spans="3:12" ht="12.75" x14ac:dyDescent="0.25">
      <c r="C22" s="141" t="s">
        <v>168</v>
      </c>
      <c r="D22" s="169">
        <f>VLOOKUP($D$15,Inputparameters!$C$2:$S$100,4,FALSE)</f>
        <v>1.490639097978377E-2</v>
      </c>
      <c r="E22" s="166"/>
      <c r="G22" s="99"/>
      <c r="H22" s="99"/>
      <c r="I22" s="99"/>
      <c r="K22" s="99"/>
      <c r="L22" s="99"/>
    </row>
    <row r="23" spans="3:12" ht="13.5" x14ac:dyDescent="0.25">
      <c r="C23" s="166" t="s">
        <v>182</v>
      </c>
      <c r="D23" s="166">
        <f>VLOOKUP($D$15,Inputparameters!$C$2:$S$100,7,FALSE)</f>
        <v>1.55</v>
      </c>
      <c r="E23" s="166" t="s">
        <v>183</v>
      </c>
      <c r="G23" s="99"/>
      <c r="H23" s="99"/>
      <c r="I23" s="99"/>
      <c r="K23" s="99"/>
      <c r="L23" s="99"/>
    </row>
    <row r="24" spans="3:12" ht="12.75" x14ac:dyDescent="0.2">
      <c r="C24" s="166" t="s">
        <v>44</v>
      </c>
      <c r="D24" s="171">
        <f>VLOOKUP($D$15,Inputparameters!$C$2:$S$100,8,FALSE)</f>
        <v>7.4000000000000003E-10</v>
      </c>
      <c r="E24" s="166" t="s">
        <v>184</v>
      </c>
      <c r="G24" s="99"/>
      <c r="H24" s="99"/>
      <c r="I24" s="99"/>
      <c r="K24" s="99"/>
      <c r="L24" s="99"/>
    </row>
    <row r="25" spans="3:12" x14ac:dyDescent="0.2">
      <c r="C25" s="166"/>
      <c r="D25" s="166"/>
      <c r="E25" s="166"/>
      <c r="G25" s="99"/>
      <c r="H25" s="99"/>
      <c r="I25" s="99"/>
      <c r="K25" s="99"/>
      <c r="L25" s="99"/>
    </row>
    <row r="26" spans="3:12" x14ac:dyDescent="0.2">
      <c r="C26" s="166" t="s">
        <v>14</v>
      </c>
      <c r="D26" s="166" t="str">
        <f>D4</f>
        <v>Geen verontreiniging</v>
      </c>
      <c r="E26" s="166"/>
      <c r="G26" s="99"/>
      <c r="H26" s="99"/>
      <c r="I26" s="99"/>
      <c r="K26" s="99"/>
      <c r="L26" s="99"/>
    </row>
    <row r="27" spans="3:12" x14ac:dyDescent="0.2">
      <c r="C27" s="166" t="str">
        <f>IF(D26="Geen verontreiniging","","Activiteit verontreiniging #1")</f>
        <v/>
      </c>
      <c r="D27" s="172" t="str">
        <f>IF(D26="Geen verontreiniging","",IF(D5="",VLOOKUP($D$26,Inputparameters!$C$2:$S$100,2,FALSE),D5))</f>
        <v/>
      </c>
      <c r="E27" s="166" t="str">
        <f>IF(D26="Geen verontreiniging","","GBq")</f>
        <v/>
      </c>
      <c r="G27" s="99"/>
      <c r="H27" s="168"/>
      <c r="I27" s="99"/>
      <c r="K27" s="99"/>
      <c r="L27" s="99"/>
    </row>
    <row r="28" spans="3:12" ht="13.5" x14ac:dyDescent="0.25">
      <c r="C28" s="141" t="s">
        <v>168</v>
      </c>
      <c r="D28" s="172">
        <f>IF(D26="Geen verontreiniging",0,VLOOKUP($D$26,Inputparameters!$C$2:$S$100,4,FALSE))</f>
        <v>0</v>
      </c>
      <c r="E28" s="100" t="s">
        <v>198</v>
      </c>
      <c r="G28" s="99"/>
      <c r="H28" s="99"/>
      <c r="I28" s="99"/>
      <c r="K28" s="99"/>
      <c r="L28" s="99"/>
    </row>
    <row r="29" spans="3:12" ht="13.5" x14ac:dyDescent="0.25">
      <c r="C29" s="166" t="s">
        <v>182</v>
      </c>
      <c r="D29" s="172">
        <f>IF($D$26="Geen verontreiniging",0,VLOOKUP($D$26,Inputparameters!$C$2:$S$100,7,FALSE))</f>
        <v>0</v>
      </c>
      <c r="E29" s="166" t="s">
        <v>183</v>
      </c>
      <c r="G29" s="99"/>
      <c r="H29" s="99"/>
      <c r="I29" s="99"/>
      <c r="K29" s="99"/>
      <c r="L29" s="99"/>
    </row>
    <row r="30" spans="3:12" ht="12.75" x14ac:dyDescent="0.2">
      <c r="C30" s="166" t="str">
        <f>IF(D26="Geen verontreiniging","","DCC")</f>
        <v/>
      </c>
      <c r="D30" s="172">
        <f>IF($D$26="Geen verontreiniging",0,VLOOKUP($D$26,Inputparameters!$C$2:$S$100,8,FALSE))</f>
        <v>0</v>
      </c>
      <c r="E30" s="166" t="s">
        <v>184</v>
      </c>
      <c r="G30" s="99"/>
      <c r="H30" s="99"/>
      <c r="I30" s="99"/>
      <c r="K30" s="99"/>
      <c r="L30" s="99"/>
    </row>
    <row r="31" spans="3:12" x14ac:dyDescent="0.2">
      <c r="C31" s="166"/>
      <c r="D31" s="166"/>
      <c r="E31" s="166"/>
      <c r="G31" s="99"/>
      <c r="H31" s="99"/>
      <c r="I31" s="99"/>
      <c r="K31" s="99"/>
      <c r="L31" s="99"/>
    </row>
    <row r="32" spans="3:12" x14ac:dyDescent="0.2">
      <c r="C32" s="166" t="s">
        <v>16</v>
      </c>
      <c r="D32" s="166" t="str">
        <f>D6</f>
        <v>Geen verontreiniging</v>
      </c>
      <c r="E32" s="166"/>
      <c r="G32" s="99"/>
      <c r="H32" s="99"/>
      <c r="I32" s="99"/>
      <c r="K32" s="99"/>
      <c r="L32" s="99"/>
    </row>
    <row r="33" spans="3:12" x14ac:dyDescent="0.2">
      <c r="C33" s="166" t="str">
        <f>IF(D32="Geen verontreiniging","","Activiteit verontreiniging #2")</f>
        <v/>
      </c>
      <c r="D33" s="166" t="str">
        <f>IF(D32="Geen verontreiniging","",IF(D7="",VLOOKUP($D$32,Inputparameters!$C$2:$S$100,2,FALSE),D7))</f>
        <v/>
      </c>
      <c r="E33" s="166" t="str">
        <f>IF(D32="Geen verontreiniging","","GBq")</f>
        <v/>
      </c>
      <c r="G33" s="99"/>
      <c r="H33" s="99"/>
      <c r="I33" s="99"/>
      <c r="K33" s="99"/>
      <c r="L33" s="99"/>
    </row>
    <row r="34" spans="3:12" ht="13.5" x14ac:dyDescent="0.25">
      <c r="C34" s="141" t="s">
        <v>168</v>
      </c>
      <c r="D34" s="172">
        <f>IF(D32="Geen verontreiniging",0,VLOOKUP($D$32,Inputparameters!$C$2:$S$100,4,FALSE))</f>
        <v>0</v>
      </c>
      <c r="E34" s="100" t="s">
        <v>198</v>
      </c>
      <c r="G34" s="99"/>
      <c r="H34" s="99"/>
      <c r="I34" s="99"/>
      <c r="K34" s="99"/>
      <c r="L34" s="99"/>
    </row>
    <row r="35" spans="3:12" ht="13.5" x14ac:dyDescent="0.25">
      <c r="C35" s="166" t="s">
        <v>182</v>
      </c>
      <c r="D35" s="172">
        <f>IF($D$32="Geen verontreiniging",0,VLOOKUP($D$32,Inputparameters!$C$2:$S$100,7,FALSE))</f>
        <v>0</v>
      </c>
      <c r="E35" s="166" t="s">
        <v>183</v>
      </c>
      <c r="G35" s="99"/>
      <c r="H35" s="99"/>
      <c r="I35" s="99"/>
      <c r="K35" s="99"/>
      <c r="L35" s="99"/>
    </row>
    <row r="36" spans="3:12" ht="12.75" x14ac:dyDescent="0.2">
      <c r="C36" s="166" t="str">
        <f>IF(D32="Geen verontreiniging","","DCC")</f>
        <v/>
      </c>
      <c r="D36" s="172">
        <f>IF($D$32="Geen verontreiniging",0,VLOOKUP($D$32,Inputparameters!$C$2:$S$100,8,FALSE))</f>
        <v>0</v>
      </c>
      <c r="E36" s="166" t="s">
        <v>184</v>
      </c>
      <c r="G36" s="99"/>
      <c r="H36" s="99"/>
      <c r="I36" s="99"/>
      <c r="K36" s="99"/>
      <c r="L36" s="99"/>
    </row>
    <row r="37" spans="3:12" x14ac:dyDescent="0.2">
      <c r="C37" s="166"/>
      <c r="D37" s="172"/>
      <c r="E37" s="166"/>
      <c r="G37" s="99"/>
      <c r="H37" s="99"/>
      <c r="I37" s="99"/>
      <c r="K37" s="99"/>
      <c r="L37" s="99"/>
    </row>
    <row r="38" spans="3:12" x14ac:dyDescent="0.2">
      <c r="C38" s="166" t="s">
        <v>32</v>
      </c>
      <c r="D38" s="166" t="str">
        <f>VLOOKUP($D$15,Inputparameters!$C$2:$S$100,17,FALSE)</f>
        <v>fractie</v>
      </c>
      <c r="E38" s="166"/>
      <c r="G38" s="99"/>
      <c r="H38" s="99"/>
      <c r="I38" s="99"/>
      <c r="K38" s="99"/>
      <c r="L38" s="99"/>
    </row>
    <row r="39" spans="3:12" x14ac:dyDescent="0.2">
      <c r="C39" s="173" t="s">
        <v>33</v>
      </c>
      <c r="D39" s="169">
        <f>VLOOKUP($D$15,Inputparameters!$C$2:$S$100,9,FALSE)</f>
        <v>0.49510512897138953</v>
      </c>
      <c r="E39" s="166"/>
      <c r="G39" s="99"/>
      <c r="H39" s="99"/>
      <c r="I39" s="99"/>
      <c r="K39" s="99"/>
      <c r="L39" s="99"/>
    </row>
    <row r="40" spans="3:12" x14ac:dyDescent="0.2">
      <c r="C40" s="173" t="str">
        <f>IF(VLOOKUP(D15,Inputparameters!$C$2:$S$100,17,FALSE)="tijd","T1","f1")</f>
        <v>f1</v>
      </c>
      <c r="D40" s="172">
        <f>IF(VLOOKUP($D$15,Inputparameters!$C$2:$S$100,17,FALSE)="tijd",VLOOKUP($D$15,Inputparameters!$C$2:$S$100,10,FALSE),VLOOKUP($D$15,Inputparameters!$C$2:$S$100,11,FALSE))</f>
        <v>0.4</v>
      </c>
      <c r="E40" s="173"/>
      <c r="G40" s="99"/>
      <c r="H40" s="99"/>
      <c r="I40" s="99"/>
      <c r="K40" s="99"/>
      <c r="L40" s="99"/>
    </row>
    <row r="41" spans="3:12" x14ac:dyDescent="0.2">
      <c r="C41" s="166" t="str">
        <f>IF(VLOOKUP(D15,Inputparameters!$C$2:$S$100,12,FALSE)="","","λb2")</f>
        <v>λb2</v>
      </c>
      <c r="D41" s="172">
        <f>IF(VLOOKUP(D15,Inputparameters!$C$2:$S$100,12,FALSE)="","",VLOOKUP(D15,Inputparameters!$C$2:S100,12,FALSE))</f>
        <v>0</v>
      </c>
      <c r="E41" s="173"/>
      <c r="G41" s="99"/>
      <c r="H41" s="99"/>
      <c r="I41" s="99"/>
      <c r="K41" s="99"/>
      <c r="L41" s="99"/>
    </row>
    <row r="42" spans="3:12" x14ac:dyDescent="0.2">
      <c r="C42" s="173" t="str">
        <f>IF(VLOOKUP(D15,Inputparameters!C2:S100,12,FALSE)="","",IF(VLOOKUP(D15,Inputparameters!$C$2:$S$100,17,FALSE)="tijd","T2","f2"))</f>
        <v>f2</v>
      </c>
      <c r="D42" s="172">
        <f>IF(VLOOKUP($D$15,Inputparameters!$C$2:$S$100,17,FALSE)="tijd",IF(VLOOKUP($D$15,Inputparameters!$C$2:$S$100,13,FALSE)="","∞",VLOOKUP($D$15,Inputparameters!$C$2:$S$100,13,FALSE)),IF(VLOOKUP($D$15,Inputparameters!$C$2:$S$100,14,FALSE)="","",VLOOKUP($D$15,Inputparameters!$C$2:$S$100,14,FALSE)))</f>
        <v>0.6</v>
      </c>
      <c r="E42" s="173"/>
      <c r="G42" s="99"/>
      <c r="H42" s="99"/>
      <c r="I42" s="99"/>
      <c r="K42" s="99"/>
      <c r="L42" s="99"/>
    </row>
    <row r="43" spans="3:12" s="99" customFormat="1" x14ac:dyDescent="0.2">
      <c r="C43" s="166" t="str">
        <f>IF(VLOOKUP(D15,Inputparameters!$C$2:$S$100,15,FALSE)="","","λb3")</f>
        <v/>
      </c>
      <c r="D43" s="172">
        <f>IF(VLOOKUP(D15,Inputparameters!$C$2:$S$100,15,FALSE)="",0,VLOOKUP(D15,Inputparameters!$C$2:S95,15,FALSE))</f>
        <v>0</v>
      </c>
      <c r="E43" s="166"/>
    </row>
    <row r="44" spans="3:12" s="99" customFormat="1" x14ac:dyDescent="0.2">
      <c r="C44" s="173" t="str">
        <f>IF(VLOOKUP(D15,Inputparameters!$C$2:$T$100,15,FALSE)="","",IF(VLOOKUP(D15,Inputparameters!$C$2:$T$100,17,FALSE)="tijd","T3","f3"))</f>
        <v/>
      </c>
      <c r="D44" s="172">
        <f>IF(VLOOKUP($D$15,Inputparameters!$C$2:$S$100,17,FALSE)="tijd",IF(VLOOKUP($D$15,Inputparameters!$C$2:$S$100,13,FALSE)="",0,"∞"),IF(VLOOKUP($D$15,Inputparameters!$C$2:$S$100,16,FALSE)="",0,VLOOKUP($D$15,Inputparameters!$C$2:$S$100,16,FALSE)))</f>
        <v>0</v>
      </c>
      <c r="E44" s="166"/>
    </row>
    <row r="45" spans="3:12" s="99" customFormat="1" x14ac:dyDescent="0.2"/>
    <row r="46" spans="3:12" s="99" customFormat="1" x14ac:dyDescent="0.2"/>
    <row r="47" spans="3:12" s="99" customFormat="1" x14ac:dyDescent="0.2"/>
    <row r="48" spans="3:12" s="99" customFormat="1" x14ac:dyDescent="0.2"/>
    <row r="49" s="99" customFormat="1" x14ac:dyDescent="0.2"/>
    <row r="50" s="99" customFormat="1" x14ac:dyDescent="0.2"/>
    <row r="51" s="99" customFormat="1" x14ac:dyDescent="0.2"/>
    <row r="52" s="99" customFormat="1" x14ac:dyDescent="0.2"/>
    <row r="53" s="99" customFormat="1" x14ac:dyDescent="0.2"/>
    <row r="54" s="99" customFormat="1" x14ac:dyDescent="0.2"/>
    <row r="55" s="99" customFormat="1" x14ac:dyDescent="0.2"/>
    <row r="56" s="99" customFormat="1" x14ac:dyDescent="0.2"/>
    <row r="57" s="99" customFormat="1" x14ac:dyDescent="0.2"/>
    <row r="58" s="99" customFormat="1" x14ac:dyDescent="0.2"/>
    <row r="59" s="99" customFormat="1" x14ac:dyDescent="0.2"/>
    <row r="60" s="99" customFormat="1" x14ac:dyDescent="0.2"/>
    <row r="61" s="99" customFormat="1" x14ac:dyDescent="0.2"/>
    <row r="62" s="99" customFormat="1" x14ac:dyDescent="0.2"/>
    <row r="63" s="99" customFormat="1" x14ac:dyDescent="0.2"/>
    <row r="64" s="99" customFormat="1" x14ac:dyDescent="0.2"/>
    <row r="65" s="99" customFormat="1" x14ac:dyDescent="0.2"/>
    <row r="66" s="99" customFormat="1" x14ac:dyDescent="0.2"/>
    <row r="67" s="99" customFormat="1" x14ac:dyDescent="0.2"/>
    <row r="68" s="99" customFormat="1" x14ac:dyDescent="0.2"/>
    <row r="69" s="99" customFormat="1" x14ac:dyDescent="0.2"/>
    <row r="70" s="99" customFormat="1" x14ac:dyDescent="0.2"/>
    <row r="71" s="99" customFormat="1" x14ac:dyDescent="0.2"/>
    <row r="72" s="99" customFormat="1" x14ac:dyDescent="0.2"/>
    <row r="73" s="99" customFormat="1" x14ac:dyDescent="0.2"/>
    <row r="74" s="99" customFormat="1" x14ac:dyDescent="0.2"/>
    <row r="75" s="99" customFormat="1" x14ac:dyDescent="0.2"/>
    <row r="76" s="99" customFormat="1" x14ac:dyDescent="0.2"/>
    <row r="77" s="99" customFormat="1" x14ac:dyDescent="0.2"/>
    <row r="78" s="99" customFormat="1" x14ac:dyDescent="0.2"/>
    <row r="79" s="99" customFormat="1" x14ac:dyDescent="0.2"/>
    <row r="80" s="99" customFormat="1" x14ac:dyDescent="0.2"/>
    <row r="81" s="99" customFormat="1" x14ac:dyDescent="0.2"/>
    <row r="82" s="99" customFormat="1" x14ac:dyDescent="0.2"/>
    <row r="83" s="99" customFormat="1" x14ac:dyDescent="0.2"/>
    <row r="84" s="99" customFormat="1" x14ac:dyDescent="0.2"/>
    <row r="85" s="99" customFormat="1" x14ac:dyDescent="0.2"/>
    <row r="86" s="99" customFormat="1" x14ac:dyDescent="0.2"/>
    <row r="87" s="99" customFormat="1" x14ac:dyDescent="0.2"/>
    <row r="88" s="99" customFormat="1" x14ac:dyDescent="0.2"/>
    <row r="89" s="99" customFormat="1" x14ac:dyDescent="0.2"/>
    <row r="90" s="99" customFormat="1" x14ac:dyDescent="0.2"/>
    <row r="91" s="99" customFormat="1" x14ac:dyDescent="0.2"/>
    <row r="92" s="99" customFormat="1" x14ac:dyDescent="0.2"/>
    <row r="93" s="99" customFormat="1" x14ac:dyDescent="0.2"/>
    <row r="94" s="99" customFormat="1" x14ac:dyDescent="0.2"/>
    <row r="95" s="99" customFormat="1" x14ac:dyDescent="0.2"/>
    <row r="96" s="99" customFormat="1" x14ac:dyDescent="0.2"/>
    <row r="97" s="99" customFormat="1" x14ac:dyDescent="0.2"/>
    <row r="98" s="99" customFormat="1" x14ac:dyDescent="0.2"/>
    <row r="99" s="99" customFormat="1" x14ac:dyDescent="0.2"/>
    <row r="100" s="99" customFormat="1" x14ac:dyDescent="0.2"/>
    <row r="101" s="99" customFormat="1" x14ac:dyDescent="0.2"/>
    <row r="102" s="99" customFormat="1" x14ac:dyDescent="0.2"/>
    <row r="103" s="99" customFormat="1" x14ac:dyDescent="0.2"/>
    <row r="104" s="99" customFormat="1" x14ac:dyDescent="0.2"/>
    <row r="105" s="99" customFormat="1" x14ac:dyDescent="0.2"/>
    <row r="106" s="99" customFormat="1" x14ac:dyDescent="0.2"/>
    <row r="107" s="99" customFormat="1" x14ac:dyDescent="0.2"/>
    <row r="108" s="99" customFormat="1" x14ac:dyDescent="0.2"/>
    <row r="109" s="99" customFormat="1" x14ac:dyDescent="0.2"/>
    <row r="110" s="99" customFormat="1" x14ac:dyDescent="0.2"/>
    <row r="111" s="99" customFormat="1" x14ac:dyDescent="0.2"/>
    <row r="112" s="99" customFormat="1" x14ac:dyDescent="0.2"/>
    <row r="113" s="99" customFormat="1" x14ac:dyDescent="0.2"/>
    <row r="114" s="99" customFormat="1" x14ac:dyDescent="0.2"/>
    <row r="115" s="99" customFormat="1" x14ac:dyDescent="0.2"/>
    <row r="116" s="99" customFormat="1" x14ac:dyDescent="0.2"/>
    <row r="117" s="99" customFormat="1" x14ac:dyDescent="0.2"/>
    <row r="118" s="99" customFormat="1" x14ac:dyDescent="0.2"/>
    <row r="119" s="99" customFormat="1" x14ac:dyDescent="0.2"/>
    <row r="120" s="99" customFormat="1" x14ac:dyDescent="0.2"/>
    <row r="121" s="99" customFormat="1" x14ac:dyDescent="0.2"/>
    <row r="122" s="99" customFormat="1" x14ac:dyDescent="0.2"/>
    <row r="123" s="99" customFormat="1" x14ac:dyDescent="0.2"/>
    <row r="124" s="99" customFormat="1" x14ac:dyDescent="0.2"/>
    <row r="125" s="99" customFormat="1" x14ac:dyDescent="0.2"/>
    <row r="126" s="99" customFormat="1" x14ac:dyDescent="0.2"/>
    <row r="127" s="99" customFormat="1" x14ac:dyDescent="0.2"/>
    <row r="128" s="99" customFormat="1" x14ac:dyDescent="0.2"/>
    <row r="129" s="99" customFormat="1" x14ac:dyDescent="0.2"/>
    <row r="130" s="99" customFormat="1" x14ac:dyDescent="0.2"/>
    <row r="131" s="99" customFormat="1" x14ac:dyDescent="0.2"/>
    <row r="132" s="99" customFormat="1" x14ac:dyDescent="0.2"/>
    <row r="133" s="99" customFormat="1" x14ac:dyDescent="0.2"/>
    <row r="134" s="99" customFormat="1" x14ac:dyDescent="0.2"/>
    <row r="135" s="99" customFormat="1" x14ac:dyDescent="0.2"/>
    <row r="136" s="99" customFormat="1" x14ac:dyDescent="0.2"/>
    <row r="137" s="99" customFormat="1" x14ac:dyDescent="0.2"/>
    <row r="138" s="99" customFormat="1" x14ac:dyDescent="0.2"/>
    <row r="139" s="99" customFormat="1" x14ac:dyDescent="0.2"/>
    <row r="140" s="99" customFormat="1" x14ac:dyDescent="0.2"/>
    <row r="141" s="99" customFormat="1" x14ac:dyDescent="0.2"/>
    <row r="142" s="99" customFormat="1" x14ac:dyDescent="0.2"/>
    <row r="143" s="99" customFormat="1" x14ac:dyDescent="0.2"/>
    <row r="144" s="99" customFormat="1" x14ac:dyDescent="0.2"/>
    <row r="145" s="99" customFormat="1" x14ac:dyDescent="0.2"/>
    <row r="146" s="99" customFormat="1" x14ac:dyDescent="0.2"/>
    <row r="147" s="99" customFormat="1" x14ac:dyDescent="0.2"/>
    <row r="148" s="99" customFormat="1" x14ac:dyDescent="0.2"/>
    <row r="149" s="99" customFormat="1" x14ac:dyDescent="0.2"/>
    <row r="150" s="99" customFormat="1" x14ac:dyDescent="0.2"/>
    <row r="151" s="99" customFormat="1" x14ac:dyDescent="0.2"/>
    <row r="152" s="99" customFormat="1" x14ac:dyDescent="0.2"/>
    <row r="153" s="99" customFormat="1" x14ac:dyDescent="0.2"/>
    <row r="154" s="99" customFormat="1" x14ac:dyDescent="0.2"/>
    <row r="155" s="99" customFormat="1" x14ac:dyDescent="0.2"/>
    <row r="156" s="99" customFormat="1" x14ac:dyDescent="0.2"/>
    <row r="157" s="99" customFormat="1" x14ac:dyDescent="0.2"/>
    <row r="158" s="99" customFormat="1" x14ac:dyDescent="0.2"/>
    <row r="159" s="99" customFormat="1" x14ac:dyDescent="0.2"/>
    <row r="160" s="99" customFormat="1" x14ac:dyDescent="0.2"/>
    <row r="161" s="99" customFormat="1" x14ac:dyDescent="0.2"/>
    <row r="162" s="99" customFormat="1" x14ac:dyDescent="0.2"/>
    <row r="163" s="99" customFormat="1" x14ac:dyDescent="0.2"/>
    <row r="164" s="99" customFormat="1" x14ac:dyDescent="0.2"/>
    <row r="165" s="99" customFormat="1" x14ac:dyDescent="0.2"/>
    <row r="166" s="99" customFormat="1" x14ac:dyDescent="0.2"/>
    <row r="167" s="99" customFormat="1" x14ac:dyDescent="0.2"/>
    <row r="168" s="99" customFormat="1" x14ac:dyDescent="0.2"/>
    <row r="169" s="99" customFormat="1" x14ac:dyDescent="0.2"/>
    <row r="170" s="99" customFormat="1" x14ac:dyDescent="0.2"/>
    <row r="171" s="99" customFormat="1" x14ac:dyDescent="0.2"/>
    <row r="172" s="99" customFormat="1" x14ac:dyDescent="0.2"/>
    <row r="173" s="99" customFormat="1" x14ac:dyDescent="0.2"/>
    <row r="174" s="99" customFormat="1" x14ac:dyDescent="0.2"/>
    <row r="175" s="99" customFormat="1" x14ac:dyDescent="0.2"/>
    <row r="176" s="99" customFormat="1" x14ac:dyDescent="0.2"/>
    <row r="177" s="99" customFormat="1" x14ac:dyDescent="0.2"/>
    <row r="178" s="99" customFormat="1" x14ac:dyDescent="0.2"/>
    <row r="179" s="99" customFormat="1" x14ac:dyDescent="0.2"/>
    <row r="180" s="99" customFormat="1" x14ac:dyDescent="0.2"/>
    <row r="181" s="99" customFormat="1" x14ac:dyDescent="0.2"/>
    <row r="182" s="99" customFormat="1" x14ac:dyDescent="0.2"/>
    <row r="183" s="99" customFormat="1" x14ac:dyDescent="0.2"/>
    <row r="184" s="99" customFormat="1" x14ac:dyDescent="0.2"/>
    <row r="185" s="99" customFormat="1" x14ac:dyDescent="0.2"/>
    <row r="186" s="99" customFormat="1" x14ac:dyDescent="0.2"/>
    <row r="187" s="99" customFormat="1" x14ac:dyDescent="0.2"/>
    <row r="188" s="99" customFormat="1" x14ac:dyDescent="0.2"/>
    <row r="189" s="99" customFormat="1" x14ac:dyDescent="0.2"/>
    <row r="190" s="99" customFormat="1" x14ac:dyDescent="0.2"/>
    <row r="191" s="99" customFormat="1" x14ac:dyDescent="0.2"/>
    <row r="192" s="99" customFormat="1" x14ac:dyDescent="0.2"/>
    <row r="193" s="99" customFormat="1" x14ac:dyDescent="0.2"/>
    <row r="194" s="99" customFormat="1" x14ac:dyDescent="0.2"/>
    <row r="195" s="99" customFormat="1" x14ac:dyDescent="0.2"/>
    <row r="196" s="99" customFormat="1" x14ac:dyDescent="0.2"/>
    <row r="197" s="99" customFormat="1" x14ac:dyDescent="0.2"/>
    <row r="198" s="99" customFormat="1" x14ac:dyDescent="0.2"/>
    <row r="199" s="99" customFormat="1" x14ac:dyDescent="0.2"/>
    <row r="200" s="99" customFormat="1" x14ac:dyDescent="0.2"/>
    <row r="201" s="99" customFormat="1" x14ac:dyDescent="0.2"/>
    <row r="202" s="99" customFormat="1" x14ac:dyDescent="0.2"/>
    <row r="203" s="99" customFormat="1" x14ac:dyDescent="0.2"/>
    <row r="204" s="99" customFormat="1" x14ac:dyDescent="0.2"/>
    <row r="205" s="99" customFormat="1" x14ac:dyDescent="0.2"/>
    <row r="206" s="99" customFormat="1" x14ac:dyDescent="0.2"/>
    <row r="207" s="99" customFormat="1" x14ac:dyDescent="0.2"/>
    <row r="208" s="99" customFormat="1" x14ac:dyDescent="0.2"/>
    <row r="209" s="99" customFormat="1" x14ac:dyDescent="0.2"/>
    <row r="210" s="99" customFormat="1" x14ac:dyDescent="0.2"/>
    <row r="211" s="99" customFormat="1" x14ac:dyDescent="0.2"/>
    <row r="212" s="99" customFormat="1" x14ac:dyDescent="0.2"/>
    <row r="213" s="99" customFormat="1" x14ac:dyDescent="0.2"/>
    <row r="214" s="99" customFormat="1" x14ac:dyDescent="0.2"/>
    <row r="215" s="99" customFormat="1" x14ac:dyDescent="0.2"/>
    <row r="216" s="99" customFormat="1" x14ac:dyDescent="0.2"/>
    <row r="217" s="99" customFormat="1" x14ac:dyDescent="0.2"/>
    <row r="218" s="99" customFormat="1" x14ac:dyDescent="0.2"/>
    <row r="219" s="99" customFormat="1" x14ac:dyDescent="0.2"/>
    <row r="220" s="99" customFormat="1" x14ac:dyDescent="0.2"/>
    <row r="221" s="99" customFormat="1" x14ac:dyDescent="0.2"/>
    <row r="222" s="99" customFormat="1" x14ac:dyDescent="0.2"/>
    <row r="223" s="99" customFormat="1" x14ac:dyDescent="0.2"/>
    <row r="224" s="99" customFormat="1" x14ac:dyDescent="0.2"/>
    <row r="225" s="99" customFormat="1" x14ac:dyDescent="0.2"/>
    <row r="226" s="99" customFormat="1" x14ac:dyDescent="0.2"/>
    <row r="227" s="99" customFormat="1" x14ac:dyDescent="0.2"/>
    <row r="228" s="99" customFormat="1" x14ac:dyDescent="0.2"/>
    <row r="229" s="99" customFormat="1" x14ac:dyDescent="0.2"/>
    <row r="230" s="99" customFormat="1" x14ac:dyDescent="0.2"/>
    <row r="231" s="99" customFormat="1" x14ac:dyDescent="0.2"/>
    <row r="232" s="99" customFormat="1" x14ac:dyDescent="0.2"/>
    <row r="233" s="99" customFormat="1" x14ac:dyDescent="0.2"/>
    <row r="234" s="99" customFormat="1" x14ac:dyDescent="0.2"/>
    <row r="235" s="99" customFormat="1" x14ac:dyDescent="0.2"/>
    <row r="236" s="99" customFormat="1" x14ac:dyDescent="0.2"/>
    <row r="237" s="99" customFormat="1" x14ac:dyDescent="0.2"/>
    <row r="238" s="99" customFormat="1" x14ac:dyDescent="0.2"/>
    <row r="239" s="99" customFormat="1" x14ac:dyDescent="0.2"/>
    <row r="240" s="99" customFormat="1" x14ac:dyDescent="0.2"/>
    <row r="241" s="99" customFormat="1" x14ac:dyDescent="0.2"/>
    <row r="242" s="99" customFormat="1" x14ac:dyDescent="0.2"/>
    <row r="243" s="99" customFormat="1" x14ac:dyDescent="0.2"/>
    <row r="244" s="99" customFormat="1" x14ac:dyDescent="0.2"/>
    <row r="245" s="99" customFormat="1" x14ac:dyDescent="0.2"/>
  </sheetData>
  <sheetProtection algorithmName="SHA-512" hashValue="fTP7LzeObwCBkkG9SJjO7Sc1M2ViyqrHqZhJhBBxI8FhEm+ekLkMExgggxZfahG8aQXLTrVjDDtQTTi9eD05XA==" saltValue="7lzgsVKHglsHP1QrFsjeFA==" spinCount="100000" sheet="1" objects="1" scenarios="1" selectLockedCells="1"/>
  <conditionalFormatting sqref="D43">
    <cfRule type="cellIs" dxfId="11" priority="19" operator="equal">
      <formula>0</formula>
    </cfRule>
  </conditionalFormatting>
  <conditionalFormatting sqref="D44">
    <cfRule type="cellIs" dxfId="10" priority="18" operator="equal">
      <formula>0</formula>
    </cfRule>
  </conditionalFormatting>
  <conditionalFormatting sqref="D40:D42">
    <cfRule type="cellIs" dxfId="9" priority="17" operator="equal">
      <formula>0</formula>
    </cfRule>
  </conditionalFormatting>
  <conditionalFormatting sqref="D34:D37">
    <cfRule type="cellIs" dxfId="8" priority="16" operator="equal">
      <formula>0</formula>
    </cfRule>
  </conditionalFormatting>
  <conditionalFormatting sqref="D27:D30">
    <cfRule type="cellIs" dxfId="7" priority="15" operator="equal">
      <formula>0</formula>
    </cfRule>
  </conditionalFormatting>
  <conditionalFormatting sqref="K5">
    <cfRule type="cellIs" dxfId="6" priority="13" operator="equal">
      <formula>0</formula>
    </cfRule>
  </conditionalFormatting>
  <conditionalFormatting sqref="H13">
    <cfRule type="cellIs" dxfId="5" priority="8" operator="equal">
      <formula>0</formula>
    </cfRule>
  </conditionalFormatting>
  <conditionalFormatting sqref="K3:K4">
    <cfRule type="cellIs" dxfId="4" priority="7" operator="equal">
      <formula>0</formula>
    </cfRule>
  </conditionalFormatting>
  <conditionalFormatting sqref="H5">
    <cfRule type="cellIs" dxfId="3" priority="6" operator="equal">
      <formula>0</formula>
    </cfRule>
  </conditionalFormatting>
  <conditionalFormatting sqref="H3:H4">
    <cfRule type="cellIs" dxfId="2" priority="5" operator="equal">
      <formula>0</formula>
    </cfRule>
  </conditionalFormatting>
  <conditionalFormatting sqref="H14">
    <cfRule type="cellIs" dxfId="1" priority="2" operator="equal">
      <formula>0</formula>
    </cfRule>
  </conditionalFormatting>
  <conditionalFormatting sqref="H15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Inputparameters!$C$2:$C$19</xm:f>
          </x14:formula1>
          <xm:sqref>D4 D2 D6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/>
  <dimension ref="A1:AW151"/>
  <sheetViews>
    <sheetView workbookViewId="0">
      <selection activeCell="A25" sqref="A25"/>
    </sheetView>
  </sheetViews>
  <sheetFormatPr defaultColWidth="8.85546875" defaultRowHeight="15" x14ac:dyDescent="0.25"/>
  <cols>
    <col min="1" max="1" width="34.5703125" customWidth="1"/>
    <col min="2" max="2" width="25.140625" customWidth="1"/>
    <col min="3" max="3" width="9.42578125" customWidth="1"/>
    <col min="4" max="4" width="17.5703125" customWidth="1"/>
    <col min="5" max="5" width="14.28515625" customWidth="1"/>
    <col min="6" max="6" width="12" customWidth="1"/>
    <col min="15" max="49" width="8.85546875" style="4"/>
  </cols>
  <sheetData>
    <row r="1" spans="1:49" x14ac:dyDescent="0.25">
      <c r="A1" s="206" t="s">
        <v>8</v>
      </c>
      <c r="B1" s="208" t="s">
        <v>47</v>
      </c>
      <c r="C1" s="210" t="s">
        <v>48</v>
      </c>
      <c r="D1" s="212" t="s">
        <v>163</v>
      </c>
      <c r="E1" s="210" t="s">
        <v>49</v>
      </c>
      <c r="F1" s="214" t="s">
        <v>164</v>
      </c>
      <c r="G1" s="95" t="s">
        <v>45</v>
      </c>
      <c r="H1" s="96"/>
      <c r="I1" s="96"/>
      <c r="J1" s="97"/>
      <c r="K1" s="203" t="s">
        <v>46</v>
      </c>
      <c r="L1" s="204"/>
      <c r="M1" s="204"/>
      <c r="N1" s="205"/>
    </row>
    <row r="2" spans="1:49" s="1" customFormat="1" ht="15.75" thickBot="1" x14ac:dyDescent="0.3">
      <c r="A2" s="207"/>
      <c r="B2" s="209"/>
      <c r="C2" s="211"/>
      <c r="D2" s="213"/>
      <c r="E2" s="211"/>
      <c r="F2" s="215"/>
      <c r="G2" s="93" t="s">
        <v>9</v>
      </c>
      <c r="H2" s="94" t="s">
        <v>161</v>
      </c>
      <c r="I2" s="94" t="s">
        <v>162</v>
      </c>
      <c r="J2" s="6" t="s">
        <v>50</v>
      </c>
      <c r="K2" s="93" t="s">
        <v>9</v>
      </c>
      <c r="L2" s="94" t="s">
        <v>161</v>
      </c>
      <c r="M2" s="94" t="s">
        <v>162</v>
      </c>
      <c r="N2" s="6" t="s">
        <v>50</v>
      </c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</row>
    <row r="3" spans="1:49" x14ac:dyDescent="0.25">
      <c r="A3" s="86" t="s">
        <v>51</v>
      </c>
      <c r="B3" s="88" t="s">
        <v>52</v>
      </c>
      <c r="C3" s="91">
        <v>28.7</v>
      </c>
      <c r="D3" s="91">
        <v>0</v>
      </c>
      <c r="E3" s="91">
        <v>2</v>
      </c>
      <c r="F3" s="87">
        <v>2</v>
      </c>
      <c r="G3" s="89" t="s">
        <v>53</v>
      </c>
      <c r="H3" s="42" t="s">
        <v>53</v>
      </c>
      <c r="I3" s="42" t="s">
        <v>53</v>
      </c>
      <c r="J3" s="87" t="s">
        <v>54</v>
      </c>
      <c r="K3" s="89" t="s">
        <v>53</v>
      </c>
      <c r="L3" s="42" t="s">
        <v>53</v>
      </c>
      <c r="M3" s="42" t="s">
        <v>53</v>
      </c>
      <c r="N3" s="87" t="s">
        <v>54</v>
      </c>
    </row>
    <row r="4" spans="1:49" x14ac:dyDescent="0.25">
      <c r="A4" s="86" t="s">
        <v>55</v>
      </c>
      <c r="B4" s="89" t="s">
        <v>55</v>
      </c>
      <c r="C4" s="42">
        <v>0.9</v>
      </c>
      <c r="D4" s="42">
        <v>0.9</v>
      </c>
      <c r="E4" s="42">
        <v>1</v>
      </c>
      <c r="F4" s="87">
        <v>1</v>
      </c>
      <c r="G4" s="89" t="s">
        <v>53</v>
      </c>
      <c r="H4" s="42" t="s">
        <v>53</v>
      </c>
      <c r="I4" s="42" t="s">
        <v>53</v>
      </c>
      <c r="J4" s="87" t="s">
        <v>54</v>
      </c>
      <c r="K4" s="89" t="s">
        <v>53</v>
      </c>
      <c r="L4" s="42" t="s">
        <v>53</v>
      </c>
      <c r="M4" s="42" t="s">
        <v>53</v>
      </c>
      <c r="N4" s="87" t="s">
        <v>54</v>
      </c>
    </row>
    <row r="5" spans="1:49" x14ac:dyDescent="0.25">
      <c r="A5" s="86" t="s">
        <v>56</v>
      </c>
      <c r="B5" s="89" t="s">
        <v>57</v>
      </c>
      <c r="C5" s="42">
        <v>21</v>
      </c>
      <c r="D5" s="42">
        <v>21</v>
      </c>
      <c r="E5" s="42">
        <v>0</v>
      </c>
      <c r="F5" s="87">
        <v>0</v>
      </c>
      <c r="G5" s="89" t="s">
        <v>53</v>
      </c>
      <c r="H5" s="42" t="s">
        <v>53</v>
      </c>
      <c r="I5" s="42" t="s">
        <v>53</v>
      </c>
      <c r="J5" s="87" t="s">
        <v>53</v>
      </c>
      <c r="K5" s="89" t="s">
        <v>53</v>
      </c>
      <c r="L5" s="42" t="s">
        <v>53</v>
      </c>
      <c r="M5" s="42" t="s">
        <v>53</v>
      </c>
      <c r="N5" s="87" t="s">
        <v>53</v>
      </c>
    </row>
    <row r="6" spans="1:49" x14ac:dyDescent="0.25">
      <c r="A6" s="86" t="s">
        <v>58</v>
      </c>
      <c r="B6" s="89" t="s">
        <v>59</v>
      </c>
      <c r="C6" s="42">
        <v>1.8</v>
      </c>
      <c r="D6" s="42">
        <v>0</v>
      </c>
      <c r="E6" s="42">
        <v>0.8</v>
      </c>
      <c r="F6" s="87">
        <v>0.8</v>
      </c>
      <c r="G6" s="89" t="s">
        <v>54</v>
      </c>
      <c r="H6" s="42" t="s">
        <v>53</v>
      </c>
      <c r="I6" s="42" t="s">
        <v>53</v>
      </c>
      <c r="J6" s="87" t="s">
        <v>53</v>
      </c>
      <c r="K6" s="89" t="s">
        <v>54</v>
      </c>
      <c r="L6" s="42" t="s">
        <v>53</v>
      </c>
      <c r="M6" s="42" t="s">
        <v>53</v>
      </c>
      <c r="N6" s="87" t="s">
        <v>53</v>
      </c>
    </row>
    <row r="7" spans="1:49" x14ac:dyDescent="0.25">
      <c r="A7" s="86" t="s">
        <v>60</v>
      </c>
      <c r="B7" s="89" t="s">
        <v>59</v>
      </c>
      <c r="C7" s="42">
        <v>2.6</v>
      </c>
      <c r="D7" s="42">
        <v>0</v>
      </c>
      <c r="E7" s="42">
        <v>0.8</v>
      </c>
      <c r="F7" s="87">
        <v>0.8</v>
      </c>
      <c r="G7" s="89" t="s">
        <v>54</v>
      </c>
      <c r="H7" s="42" t="s">
        <v>53</v>
      </c>
      <c r="I7" s="42" t="s">
        <v>53</v>
      </c>
      <c r="J7" s="87" t="s">
        <v>53</v>
      </c>
      <c r="K7" s="89" t="s">
        <v>54</v>
      </c>
      <c r="L7" s="42" t="s">
        <v>53</v>
      </c>
      <c r="M7" s="42" t="s">
        <v>53</v>
      </c>
      <c r="N7" s="87" t="s">
        <v>53</v>
      </c>
    </row>
    <row r="8" spans="1:49" x14ac:dyDescent="0.25">
      <c r="A8" s="86" t="s">
        <v>61</v>
      </c>
      <c r="B8" s="89" t="s">
        <v>59</v>
      </c>
      <c r="C8" s="42">
        <v>0.2</v>
      </c>
      <c r="D8" s="42">
        <v>0</v>
      </c>
      <c r="E8" s="42">
        <v>0.8</v>
      </c>
      <c r="F8" s="87">
        <v>0.8</v>
      </c>
      <c r="G8" s="89" t="s">
        <v>54</v>
      </c>
      <c r="H8" s="42" t="s">
        <v>53</v>
      </c>
      <c r="I8" s="42" t="s">
        <v>53</v>
      </c>
      <c r="J8" s="87" t="s">
        <v>53</v>
      </c>
      <c r="K8" s="89" t="s">
        <v>54</v>
      </c>
      <c r="L8" s="42" t="s">
        <v>53</v>
      </c>
      <c r="M8" s="42" t="s">
        <v>53</v>
      </c>
      <c r="N8" s="87" t="s">
        <v>53</v>
      </c>
    </row>
    <row r="9" spans="1:49" x14ac:dyDescent="0.25">
      <c r="A9" s="86" t="s">
        <v>62</v>
      </c>
      <c r="B9" s="89" t="s">
        <v>59</v>
      </c>
      <c r="C9" s="42">
        <v>2.2000000000000002</v>
      </c>
      <c r="D9" s="42">
        <v>0</v>
      </c>
      <c r="E9" s="42">
        <v>0.8</v>
      </c>
      <c r="F9" s="87">
        <v>0.8</v>
      </c>
      <c r="G9" s="89" t="s">
        <v>54</v>
      </c>
      <c r="H9" s="42" t="s">
        <v>53</v>
      </c>
      <c r="I9" s="42" t="s">
        <v>53</v>
      </c>
      <c r="J9" s="87" t="s">
        <v>53</v>
      </c>
      <c r="K9" s="89" t="s">
        <v>54</v>
      </c>
      <c r="L9" s="42" t="s">
        <v>53</v>
      </c>
      <c r="M9" s="42" t="s">
        <v>53</v>
      </c>
      <c r="N9" s="87" t="s">
        <v>53</v>
      </c>
    </row>
    <row r="10" spans="1:49" x14ac:dyDescent="0.25">
      <c r="A10" s="86" t="s">
        <v>63</v>
      </c>
      <c r="B10" s="89" t="s">
        <v>59</v>
      </c>
      <c r="C10" s="42">
        <v>0.7</v>
      </c>
      <c r="D10" s="42">
        <v>0</v>
      </c>
      <c r="E10" s="42">
        <v>0.8</v>
      </c>
      <c r="F10" s="87">
        <v>0.8</v>
      </c>
      <c r="G10" s="89" t="s">
        <v>54</v>
      </c>
      <c r="H10" s="42" t="s">
        <v>53</v>
      </c>
      <c r="I10" s="42" t="s">
        <v>53</v>
      </c>
      <c r="J10" s="87" t="s">
        <v>53</v>
      </c>
      <c r="K10" s="89" t="s">
        <v>54</v>
      </c>
      <c r="L10" s="42" t="s">
        <v>53</v>
      </c>
      <c r="M10" s="42" t="s">
        <v>53</v>
      </c>
      <c r="N10" s="87" t="s">
        <v>53</v>
      </c>
    </row>
    <row r="11" spans="1:49" x14ac:dyDescent="0.25">
      <c r="A11" s="86" t="s">
        <v>64</v>
      </c>
      <c r="B11" s="89" t="s">
        <v>65</v>
      </c>
      <c r="C11" s="42">
        <v>56</v>
      </c>
      <c r="D11" s="42">
        <v>56</v>
      </c>
      <c r="E11" s="42">
        <v>0.8</v>
      </c>
      <c r="F11" s="87">
        <v>2.8</v>
      </c>
      <c r="G11" s="89" t="s">
        <v>53</v>
      </c>
      <c r="H11" s="42" t="s">
        <v>54</v>
      </c>
      <c r="I11" s="42" t="s">
        <v>54</v>
      </c>
      <c r="J11" s="87" t="s">
        <v>53</v>
      </c>
      <c r="K11" s="89" t="s">
        <v>53</v>
      </c>
      <c r="L11" s="42" t="s">
        <v>54</v>
      </c>
      <c r="M11" s="42" t="s">
        <v>54</v>
      </c>
      <c r="N11" s="87" t="s">
        <v>53</v>
      </c>
    </row>
    <row r="12" spans="1:49" x14ac:dyDescent="0.25">
      <c r="A12" s="86" t="s">
        <v>66</v>
      </c>
      <c r="B12" s="89" t="s">
        <v>66</v>
      </c>
      <c r="C12" s="42">
        <v>1</v>
      </c>
      <c r="D12" s="42">
        <v>1</v>
      </c>
      <c r="E12" s="42">
        <v>0.4</v>
      </c>
      <c r="F12" s="87">
        <v>0.4</v>
      </c>
      <c r="G12" s="89" t="s">
        <v>53</v>
      </c>
      <c r="H12" s="42" t="s">
        <v>54</v>
      </c>
      <c r="I12" s="42" t="s">
        <v>54</v>
      </c>
      <c r="J12" s="87" t="s">
        <v>53</v>
      </c>
      <c r="K12" s="89" t="s">
        <v>53</v>
      </c>
      <c r="L12" s="42" t="s">
        <v>54</v>
      </c>
      <c r="M12" s="42" t="s">
        <v>54</v>
      </c>
      <c r="N12" s="87" t="s">
        <v>53</v>
      </c>
    </row>
    <row r="13" spans="1:49" x14ac:dyDescent="0.25">
      <c r="A13" s="86" t="s">
        <v>67</v>
      </c>
      <c r="B13" s="89" t="s">
        <v>68</v>
      </c>
      <c r="C13" s="42">
        <v>10.8</v>
      </c>
      <c r="D13" s="42">
        <v>10.8</v>
      </c>
      <c r="E13" s="42">
        <v>0.6</v>
      </c>
      <c r="F13" s="87">
        <v>2.6</v>
      </c>
      <c r="G13" s="89" t="s">
        <v>54</v>
      </c>
      <c r="H13" s="42" t="s">
        <v>54</v>
      </c>
      <c r="I13" s="42" t="s">
        <v>54</v>
      </c>
      <c r="J13" s="87" t="s">
        <v>53</v>
      </c>
      <c r="K13" s="89" t="s">
        <v>54</v>
      </c>
      <c r="L13" s="42" t="s">
        <v>54</v>
      </c>
      <c r="M13" s="42" t="s">
        <v>54</v>
      </c>
      <c r="N13" s="87" t="s">
        <v>53</v>
      </c>
    </row>
    <row r="14" spans="1:49" x14ac:dyDescent="0.25">
      <c r="A14" s="86" t="s">
        <v>69</v>
      </c>
      <c r="B14" s="89" t="s">
        <v>57</v>
      </c>
      <c r="C14" s="42">
        <v>6.7</v>
      </c>
      <c r="D14" s="42">
        <v>6.7</v>
      </c>
      <c r="E14" s="42">
        <v>0</v>
      </c>
      <c r="F14" s="87">
        <v>0</v>
      </c>
      <c r="G14" s="89" t="s">
        <v>53</v>
      </c>
      <c r="H14" s="42" t="s">
        <v>53</v>
      </c>
      <c r="I14" s="42" t="s">
        <v>53</v>
      </c>
      <c r="J14" s="87" t="s">
        <v>53</v>
      </c>
      <c r="K14" s="89" t="s">
        <v>53</v>
      </c>
      <c r="L14" s="42" t="s">
        <v>53</v>
      </c>
      <c r="M14" s="42" t="s">
        <v>53</v>
      </c>
      <c r="N14" s="87" t="s">
        <v>53</v>
      </c>
    </row>
    <row r="15" spans="1:49" x14ac:dyDescent="0.25">
      <c r="A15" s="86" t="s">
        <v>70</v>
      </c>
      <c r="B15" s="89" t="s">
        <v>70</v>
      </c>
      <c r="C15" s="42">
        <v>10.1</v>
      </c>
      <c r="D15" s="42">
        <v>10.1</v>
      </c>
      <c r="E15" s="42">
        <v>1.5</v>
      </c>
      <c r="F15" s="87">
        <v>2</v>
      </c>
      <c r="G15" s="89" t="s">
        <v>54</v>
      </c>
      <c r="H15" s="42" t="s">
        <v>54</v>
      </c>
      <c r="I15" s="42" t="s">
        <v>54</v>
      </c>
      <c r="J15" s="87" t="s">
        <v>54</v>
      </c>
      <c r="K15" s="89" t="s">
        <v>54</v>
      </c>
      <c r="L15" s="42" t="s">
        <v>54</v>
      </c>
      <c r="M15" s="42" t="s">
        <v>54</v>
      </c>
      <c r="N15" s="87" t="s">
        <v>54</v>
      </c>
    </row>
    <row r="16" spans="1:49" x14ac:dyDescent="0.25">
      <c r="A16" s="86" t="s">
        <v>71</v>
      </c>
      <c r="B16" s="89" t="s">
        <v>57</v>
      </c>
      <c r="C16" s="42">
        <v>3.4</v>
      </c>
      <c r="D16" s="42">
        <v>3.4</v>
      </c>
      <c r="E16" s="42">
        <v>0</v>
      </c>
      <c r="F16" s="87">
        <v>0</v>
      </c>
      <c r="G16" s="89" t="s">
        <v>53</v>
      </c>
      <c r="H16" s="42" t="s">
        <v>53</v>
      </c>
      <c r="I16" s="42" t="s">
        <v>53</v>
      </c>
      <c r="J16" s="87" t="s">
        <v>53</v>
      </c>
      <c r="K16" s="89" t="s">
        <v>53</v>
      </c>
      <c r="L16" s="42" t="s">
        <v>53</v>
      </c>
      <c r="M16" s="42" t="s">
        <v>53</v>
      </c>
      <c r="N16" s="87" t="s">
        <v>53</v>
      </c>
    </row>
    <row r="17" spans="1:14" x14ac:dyDescent="0.25">
      <c r="A17" s="86" t="s">
        <v>72</v>
      </c>
      <c r="B17" s="89" t="s">
        <v>70</v>
      </c>
      <c r="C17" s="42">
        <v>14.1</v>
      </c>
      <c r="D17" s="42">
        <v>14.1</v>
      </c>
      <c r="E17" s="42">
        <v>1.5</v>
      </c>
      <c r="F17" s="87">
        <v>2</v>
      </c>
      <c r="G17" s="89" t="s">
        <v>54</v>
      </c>
      <c r="H17" s="42" t="s">
        <v>54</v>
      </c>
      <c r="I17" s="42" t="s">
        <v>54</v>
      </c>
      <c r="J17" s="87" t="s">
        <v>54</v>
      </c>
      <c r="K17" s="89" t="s">
        <v>54</v>
      </c>
      <c r="L17" s="42" t="s">
        <v>54</v>
      </c>
      <c r="M17" s="42" t="s">
        <v>54</v>
      </c>
      <c r="N17" s="87" t="s">
        <v>54</v>
      </c>
    </row>
    <row r="18" spans="1:14" x14ac:dyDescent="0.25">
      <c r="A18" s="86" t="s">
        <v>73</v>
      </c>
      <c r="B18" s="89" t="s">
        <v>57</v>
      </c>
      <c r="C18" s="42">
        <v>1.7</v>
      </c>
      <c r="D18" s="42">
        <v>1.7</v>
      </c>
      <c r="E18" s="42">
        <v>0</v>
      </c>
      <c r="F18" s="87">
        <v>0</v>
      </c>
      <c r="G18" s="89" t="s">
        <v>53</v>
      </c>
      <c r="H18" s="42" t="s">
        <v>53</v>
      </c>
      <c r="I18" s="42" t="s">
        <v>53</v>
      </c>
      <c r="J18" s="87" t="s">
        <v>53</v>
      </c>
      <c r="K18" s="89" t="s">
        <v>53</v>
      </c>
      <c r="L18" s="42" t="s">
        <v>53</v>
      </c>
      <c r="M18" s="42" t="s">
        <v>53</v>
      </c>
      <c r="N18" s="87" t="s">
        <v>53</v>
      </c>
    </row>
    <row r="19" spans="1:14" x14ac:dyDescent="0.25">
      <c r="A19" s="86" t="s">
        <v>74</v>
      </c>
      <c r="B19" s="89" t="s">
        <v>75</v>
      </c>
      <c r="C19" s="42">
        <v>0.1</v>
      </c>
      <c r="D19" s="42">
        <v>0.1</v>
      </c>
      <c r="E19" s="42">
        <v>0.5</v>
      </c>
      <c r="F19" s="87">
        <v>0.5</v>
      </c>
      <c r="G19" s="89" t="s">
        <v>53</v>
      </c>
      <c r="H19" s="42" t="s">
        <v>54</v>
      </c>
      <c r="I19" s="42" t="s">
        <v>54</v>
      </c>
      <c r="J19" s="87" t="s">
        <v>54</v>
      </c>
      <c r="K19" s="89" t="s">
        <v>53</v>
      </c>
      <c r="L19" s="42" t="s">
        <v>54</v>
      </c>
      <c r="M19" s="42" t="s">
        <v>54</v>
      </c>
      <c r="N19" s="87" t="s">
        <v>54</v>
      </c>
    </row>
    <row r="20" spans="1:14" x14ac:dyDescent="0.25">
      <c r="A20" s="86" t="s">
        <v>76</v>
      </c>
      <c r="B20" s="89" t="s">
        <v>75</v>
      </c>
      <c r="C20" s="42">
        <v>0.4</v>
      </c>
      <c r="D20" s="42">
        <v>0.4</v>
      </c>
      <c r="E20" s="42">
        <v>0.5</v>
      </c>
      <c r="F20" s="87">
        <v>0.5</v>
      </c>
      <c r="G20" s="89" t="s">
        <v>53</v>
      </c>
      <c r="H20" s="42" t="s">
        <v>54</v>
      </c>
      <c r="I20" s="42" t="s">
        <v>54</v>
      </c>
      <c r="J20" s="87" t="s">
        <v>54</v>
      </c>
      <c r="K20" s="89" t="s">
        <v>53</v>
      </c>
      <c r="L20" s="42" t="s">
        <v>54</v>
      </c>
      <c r="M20" s="42" t="s">
        <v>54</v>
      </c>
      <c r="N20" s="87" t="s">
        <v>54</v>
      </c>
    </row>
    <row r="21" spans="1:14" x14ac:dyDescent="0.25">
      <c r="A21" s="86" t="s">
        <v>77</v>
      </c>
      <c r="B21" s="89" t="s">
        <v>75</v>
      </c>
      <c r="C21" s="42">
        <v>0.4</v>
      </c>
      <c r="D21" s="42">
        <v>0.4</v>
      </c>
      <c r="E21" s="42">
        <v>0.5</v>
      </c>
      <c r="F21" s="87">
        <v>0.5</v>
      </c>
      <c r="G21" s="89" t="s">
        <v>53</v>
      </c>
      <c r="H21" s="42" t="s">
        <v>54</v>
      </c>
      <c r="I21" s="42" t="s">
        <v>54</v>
      </c>
      <c r="J21" s="87" t="s">
        <v>54</v>
      </c>
      <c r="K21" s="89" t="s">
        <v>53</v>
      </c>
      <c r="L21" s="42" t="s">
        <v>54</v>
      </c>
      <c r="M21" s="42" t="s">
        <v>54</v>
      </c>
      <c r="N21" s="87" t="s">
        <v>54</v>
      </c>
    </row>
    <row r="22" spans="1:14" x14ac:dyDescent="0.25">
      <c r="A22" s="86" t="s">
        <v>78</v>
      </c>
      <c r="B22" s="89" t="s">
        <v>70</v>
      </c>
      <c r="C22" s="42">
        <v>1.1000000000000001</v>
      </c>
      <c r="D22" s="42">
        <v>1.1000000000000001</v>
      </c>
      <c r="E22" s="42">
        <v>1.5</v>
      </c>
      <c r="F22" s="87">
        <v>2</v>
      </c>
      <c r="G22" s="89" t="s">
        <v>54</v>
      </c>
      <c r="H22" s="42" t="s">
        <v>54</v>
      </c>
      <c r="I22" s="42" t="s">
        <v>54</v>
      </c>
      <c r="J22" s="87" t="s">
        <v>54</v>
      </c>
      <c r="K22" s="89" t="s">
        <v>54</v>
      </c>
      <c r="L22" s="42" t="s">
        <v>54</v>
      </c>
      <c r="M22" s="42" t="s">
        <v>54</v>
      </c>
      <c r="N22" s="87" t="s">
        <v>54</v>
      </c>
    </row>
    <row r="23" spans="1:14" x14ac:dyDescent="0.25">
      <c r="A23" s="86" t="s">
        <v>79</v>
      </c>
      <c r="B23" s="89" t="s">
        <v>75</v>
      </c>
      <c r="C23" s="42">
        <v>0.6</v>
      </c>
      <c r="D23" s="42">
        <v>0.6</v>
      </c>
      <c r="E23" s="42">
        <v>0.5</v>
      </c>
      <c r="F23" s="87">
        <v>0.5</v>
      </c>
      <c r="G23" s="89" t="s">
        <v>53</v>
      </c>
      <c r="H23" s="42" t="s">
        <v>54</v>
      </c>
      <c r="I23" s="42" t="s">
        <v>54</v>
      </c>
      <c r="J23" s="87" t="s">
        <v>54</v>
      </c>
      <c r="K23" s="89" t="s">
        <v>53</v>
      </c>
      <c r="L23" s="42" t="s">
        <v>54</v>
      </c>
      <c r="M23" s="42" t="s">
        <v>54</v>
      </c>
      <c r="N23" s="87" t="s">
        <v>54</v>
      </c>
    </row>
    <row r="24" spans="1:14" ht="15.75" thickBot="1" x14ac:dyDescent="0.3">
      <c r="A24" s="16" t="s">
        <v>80</v>
      </c>
      <c r="B24" s="90" t="s">
        <v>57</v>
      </c>
      <c r="C24" s="92">
        <v>3.5</v>
      </c>
      <c r="D24" s="92">
        <v>3.5</v>
      </c>
      <c r="E24" s="92">
        <v>0</v>
      </c>
      <c r="F24" s="23">
        <v>0</v>
      </c>
      <c r="G24" s="90" t="s">
        <v>53</v>
      </c>
      <c r="H24" s="92" t="s">
        <v>53</v>
      </c>
      <c r="I24" s="92" t="s">
        <v>53</v>
      </c>
      <c r="J24" s="23" t="s">
        <v>53</v>
      </c>
      <c r="K24" s="90" t="s">
        <v>53</v>
      </c>
      <c r="L24" s="92" t="s">
        <v>53</v>
      </c>
      <c r="M24" s="92" t="s">
        <v>53</v>
      </c>
      <c r="N24" s="23" t="s">
        <v>53</v>
      </c>
    </row>
    <row r="25" spans="1:14" s="4" customFormat="1" x14ac:dyDescent="0.25"/>
    <row r="26" spans="1:14" s="4" customFormat="1" x14ac:dyDescent="0.25"/>
    <row r="27" spans="1:14" s="4" customFormat="1" x14ac:dyDescent="0.25"/>
    <row r="28" spans="1:14" s="4" customFormat="1" x14ac:dyDescent="0.25"/>
    <row r="29" spans="1:14" s="4" customFormat="1" x14ac:dyDescent="0.25"/>
    <row r="30" spans="1:14" s="4" customFormat="1" x14ac:dyDescent="0.25"/>
    <row r="31" spans="1:14" s="4" customFormat="1" x14ac:dyDescent="0.25"/>
    <row r="32" spans="1:14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  <row r="42" s="4" customFormat="1" x14ac:dyDescent="0.25"/>
    <row r="43" s="4" customFormat="1" x14ac:dyDescent="0.25"/>
    <row r="44" s="4" customFormat="1" x14ac:dyDescent="0.25"/>
    <row r="45" s="4" customFormat="1" x14ac:dyDescent="0.25"/>
    <row r="46" s="4" customFormat="1" x14ac:dyDescent="0.25"/>
    <row r="47" s="4" customFormat="1" x14ac:dyDescent="0.25"/>
    <row r="48" s="4" customFormat="1" x14ac:dyDescent="0.25"/>
    <row r="49" s="4" customFormat="1" x14ac:dyDescent="0.25"/>
    <row r="50" s="4" customFormat="1" x14ac:dyDescent="0.25"/>
    <row r="51" s="4" customFormat="1" x14ac:dyDescent="0.25"/>
    <row r="52" s="4" customFormat="1" x14ac:dyDescent="0.25"/>
    <row r="53" s="4" customFormat="1" x14ac:dyDescent="0.25"/>
    <row r="54" s="4" customFormat="1" x14ac:dyDescent="0.25"/>
    <row r="55" s="4" customFormat="1" x14ac:dyDescent="0.25"/>
    <row r="56" s="4" customFormat="1" x14ac:dyDescent="0.25"/>
    <row r="57" s="4" customFormat="1" x14ac:dyDescent="0.25"/>
    <row r="58" s="4" customFormat="1" x14ac:dyDescent="0.25"/>
    <row r="59" s="4" customFormat="1" x14ac:dyDescent="0.25"/>
    <row r="60" s="4" customFormat="1" x14ac:dyDescent="0.25"/>
    <row r="61" s="4" customFormat="1" x14ac:dyDescent="0.25"/>
    <row r="62" s="4" customFormat="1" x14ac:dyDescent="0.25"/>
    <row r="63" s="4" customFormat="1" x14ac:dyDescent="0.25"/>
    <row r="64" s="4" customFormat="1" x14ac:dyDescent="0.25"/>
    <row r="65" s="4" customFormat="1" x14ac:dyDescent="0.25"/>
    <row r="66" s="4" customFormat="1" x14ac:dyDescent="0.25"/>
    <row r="67" s="4" customFormat="1" x14ac:dyDescent="0.25"/>
    <row r="68" s="4" customFormat="1" x14ac:dyDescent="0.25"/>
    <row r="69" s="4" customFormat="1" x14ac:dyDescent="0.25"/>
    <row r="70" s="4" customFormat="1" x14ac:dyDescent="0.25"/>
    <row r="71" s="4" customFormat="1" x14ac:dyDescent="0.25"/>
    <row r="72" s="4" customFormat="1" x14ac:dyDescent="0.25"/>
    <row r="73" s="4" customFormat="1" x14ac:dyDescent="0.25"/>
    <row r="74" s="4" customFormat="1" x14ac:dyDescent="0.25"/>
    <row r="75" s="4" customFormat="1" x14ac:dyDescent="0.25"/>
    <row r="76" s="4" customFormat="1" x14ac:dyDescent="0.25"/>
    <row r="77" s="4" customFormat="1" x14ac:dyDescent="0.25"/>
    <row r="78" s="4" customFormat="1" x14ac:dyDescent="0.25"/>
    <row r="79" s="4" customFormat="1" x14ac:dyDescent="0.25"/>
    <row r="80" s="4" customFormat="1" x14ac:dyDescent="0.25"/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97" s="4" customFormat="1" x14ac:dyDescent="0.25"/>
    <row r="98" s="4" customFormat="1" x14ac:dyDescent="0.25"/>
    <row r="99" s="4" customFormat="1" x14ac:dyDescent="0.25"/>
    <row r="100" s="4" customFormat="1" x14ac:dyDescent="0.25"/>
    <row r="101" s="4" customFormat="1" x14ac:dyDescent="0.25"/>
    <row r="102" s="4" customFormat="1" x14ac:dyDescent="0.25"/>
    <row r="103" s="4" customFormat="1" x14ac:dyDescent="0.25"/>
    <row r="104" s="4" customFormat="1" x14ac:dyDescent="0.25"/>
    <row r="105" s="4" customFormat="1" x14ac:dyDescent="0.25"/>
    <row r="106" s="4" customFormat="1" x14ac:dyDescent="0.25"/>
    <row r="107" s="4" customFormat="1" x14ac:dyDescent="0.25"/>
    <row r="108" s="4" customFormat="1" x14ac:dyDescent="0.25"/>
    <row r="109" s="4" customFormat="1" x14ac:dyDescent="0.25"/>
    <row r="110" s="4" customFormat="1" x14ac:dyDescent="0.25"/>
    <row r="111" s="4" customFormat="1" x14ac:dyDescent="0.25"/>
    <row r="112" s="4" customFormat="1" x14ac:dyDescent="0.25"/>
    <row r="113" s="4" customFormat="1" x14ac:dyDescent="0.25"/>
    <row r="114" s="4" customFormat="1" x14ac:dyDescent="0.25"/>
    <row r="115" s="4" customFormat="1" x14ac:dyDescent="0.25"/>
    <row r="116" s="4" customFormat="1" x14ac:dyDescent="0.25"/>
    <row r="117" s="4" customFormat="1" x14ac:dyDescent="0.25"/>
    <row r="118" s="4" customFormat="1" x14ac:dyDescent="0.25"/>
    <row r="119" s="4" customFormat="1" x14ac:dyDescent="0.25"/>
    <row r="120" s="4" customFormat="1" x14ac:dyDescent="0.25"/>
    <row r="121" s="4" customFormat="1" x14ac:dyDescent="0.25"/>
    <row r="122" s="4" customFormat="1" x14ac:dyDescent="0.25"/>
    <row r="123" s="4" customFormat="1" x14ac:dyDescent="0.25"/>
    <row r="124" s="4" customFormat="1" x14ac:dyDescent="0.25"/>
    <row r="125" s="4" customFormat="1" x14ac:dyDescent="0.25"/>
    <row r="126" s="4" customFormat="1" x14ac:dyDescent="0.25"/>
    <row r="127" s="4" customFormat="1" x14ac:dyDescent="0.25"/>
    <row r="128" s="4" customFormat="1" x14ac:dyDescent="0.25"/>
    <row r="129" s="4" customFormat="1" x14ac:dyDescent="0.25"/>
    <row r="130" s="4" customFormat="1" x14ac:dyDescent="0.25"/>
    <row r="131" s="4" customFormat="1" x14ac:dyDescent="0.25"/>
    <row r="132" s="4" customFormat="1" x14ac:dyDescent="0.25"/>
    <row r="133" s="4" customFormat="1" x14ac:dyDescent="0.25"/>
    <row r="134" s="4" customFormat="1" x14ac:dyDescent="0.25"/>
    <row r="135" s="4" customFormat="1" x14ac:dyDescent="0.25"/>
    <row r="136" s="4" customFormat="1" x14ac:dyDescent="0.25"/>
    <row r="137" s="4" customFormat="1" x14ac:dyDescent="0.25"/>
    <row r="138" s="4" customFormat="1" x14ac:dyDescent="0.25"/>
    <row r="139" s="4" customFormat="1" x14ac:dyDescent="0.25"/>
    <row r="140" s="4" customFormat="1" x14ac:dyDescent="0.25"/>
    <row r="141" s="4" customFormat="1" x14ac:dyDescent="0.25"/>
    <row r="142" s="4" customFormat="1" x14ac:dyDescent="0.25"/>
    <row r="143" s="4" customFormat="1" x14ac:dyDescent="0.25"/>
    <row r="144" s="4" customFormat="1" x14ac:dyDescent="0.25"/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</sheetData>
  <sheetProtection algorithmName="SHA-512" hashValue="kMZckK1xO+vbltjqkyRLQHwGvpYHD2C+/vzUpyuaJGQkNGmt/LNk4KbvQtXrYPfG1f7KLvylfIdMrXXWDi8a7Q==" saltValue="UVZqhhUIknVXKYfWMEzJRw==" spinCount="100000" sheet="1" objects="1" scenarios="1" selectLockedCells="1" selectUnlockedCells="1"/>
  <mergeCells count="7">
    <mergeCell ref="K1:N1"/>
    <mergeCell ref="A1:A2"/>
    <mergeCell ref="B1:B2"/>
    <mergeCell ref="C1:C2"/>
    <mergeCell ref="D1:D2"/>
    <mergeCell ref="E1:E2"/>
    <mergeCell ref="F1:F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3"/>
  <dimension ref="A1:CM540"/>
  <sheetViews>
    <sheetView workbookViewId="0"/>
  </sheetViews>
  <sheetFormatPr defaultColWidth="8.85546875" defaultRowHeight="15" x14ac:dyDescent="0.25"/>
  <cols>
    <col min="1" max="1" width="107.7109375" style="4" customWidth="1"/>
    <col min="2" max="2" width="2.7109375" style="4" customWidth="1"/>
    <col min="3" max="3" width="38.42578125" customWidth="1"/>
    <col min="4" max="4" width="13" customWidth="1"/>
    <col min="5" max="5" width="10.5703125" customWidth="1"/>
    <col min="6" max="6" width="10.140625" customWidth="1"/>
    <col min="7" max="7" width="18.7109375" customWidth="1"/>
    <col min="8" max="8" width="15.140625" customWidth="1"/>
    <col min="9" max="9" width="17.140625" customWidth="1"/>
    <col min="10" max="10" width="15.140625" customWidth="1"/>
    <col min="11" max="11" width="12.85546875" customWidth="1"/>
    <col min="17" max="17" width="9.140625" customWidth="1"/>
    <col min="21" max="91" width="8.85546875" style="4"/>
  </cols>
  <sheetData>
    <row r="1" spans="3:20" ht="49.5" customHeight="1" thickBot="1" x14ac:dyDescent="0.3">
      <c r="C1" s="7" t="s">
        <v>0</v>
      </c>
      <c r="D1" s="2" t="s">
        <v>123</v>
      </c>
      <c r="E1" s="25" t="s">
        <v>127</v>
      </c>
      <c r="F1" s="24" t="s">
        <v>135</v>
      </c>
      <c r="G1" s="27" t="s">
        <v>130</v>
      </c>
      <c r="H1" s="27" t="s">
        <v>128</v>
      </c>
      <c r="I1" s="27" t="s">
        <v>129</v>
      </c>
      <c r="J1" s="25" t="s">
        <v>131</v>
      </c>
      <c r="K1" s="2" t="s">
        <v>132</v>
      </c>
      <c r="L1" s="2" t="s">
        <v>137</v>
      </c>
      <c r="M1" s="2" t="s">
        <v>125</v>
      </c>
      <c r="N1" s="2" t="s">
        <v>133</v>
      </c>
      <c r="O1" s="2" t="s">
        <v>136</v>
      </c>
      <c r="P1" s="2" t="s">
        <v>126</v>
      </c>
      <c r="Q1" s="2" t="s">
        <v>134</v>
      </c>
      <c r="R1" s="2" t="s">
        <v>124</v>
      </c>
      <c r="S1" s="2" t="s">
        <v>81</v>
      </c>
      <c r="T1" s="26" t="s">
        <v>101</v>
      </c>
    </row>
    <row r="2" spans="3:20" x14ac:dyDescent="0.25">
      <c r="C2" s="8" t="s">
        <v>187</v>
      </c>
      <c r="D2" s="9">
        <v>0.4</v>
      </c>
      <c r="E2" s="10">
        <v>1</v>
      </c>
      <c r="F2" s="11">
        <f>LN(2)/192.5</f>
        <v>3.6007645743373782E-3</v>
      </c>
      <c r="G2" s="11">
        <v>67</v>
      </c>
      <c r="H2" s="12">
        <v>3.4</v>
      </c>
      <c r="I2" s="13">
        <v>1.39</v>
      </c>
      <c r="J2" s="11">
        <v>2.1999999999999998E-8</v>
      </c>
      <c r="K2" s="11">
        <v>4.2999999999999997E-2</v>
      </c>
      <c r="L2" s="12">
        <v>17.100000000000001</v>
      </c>
      <c r="M2" s="13"/>
      <c r="N2" s="11">
        <v>2.2000000000000001E-3</v>
      </c>
      <c r="O2" s="10"/>
      <c r="P2" s="13"/>
      <c r="Q2" s="11"/>
      <c r="R2" s="13"/>
      <c r="S2" s="14" t="s">
        <v>82</v>
      </c>
      <c r="T2" s="15">
        <v>1</v>
      </c>
    </row>
    <row r="3" spans="3:20" x14ac:dyDescent="0.25">
      <c r="C3" s="8" t="s">
        <v>186</v>
      </c>
      <c r="D3" s="9">
        <v>1</v>
      </c>
      <c r="E3" s="10">
        <v>1</v>
      </c>
      <c r="F3" s="11">
        <f>LN(2)/192.5</f>
        <v>3.6007645743373782E-3</v>
      </c>
      <c r="G3" s="11">
        <v>67</v>
      </c>
      <c r="H3" s="12">
        <v>3.4</v>
      </c>
      <c r="I3" s="13">
        <v>1.39</v>
      </c>
      <c r="J3" s="11">
        <v>2.1999999999999998E-8</v>
      </c>
      <c r="K3" s="11">
        <v>4.2999999999999997E-2</v>
      </c>
      <c r="L3" s="12">
        <v>17.100000000000001</v>
      </c>
      <c r="M3" s="13"/>
      <c r="N3" s="11">
        <v>2.2000000000000001E-3</v>
      </c>
      <c r="O3" s="10"/>
      <c r="P3" s="13"/>
      <c r="Q3" s="11"/>
      <c r="R3" s="13"/>
      <c r="S3" s="14" t="s">
        <v>82</v>
      </c>
      <c r="T3" s="15">
        <v>1</v>
      </c>
    </row>
    <row r="4" spans="3:20" x14ac:dyDescent="0.25">
      <c r="C4" s="8" t="s">
        <v>188</v>
      </c>
      <c r="D4" s="9">
        <v>7.4</v>
      </c>
      <c r="E4" s="10">
        <v>1</v>
      </c>
      <c r="F4" s="11">
        <f>LN(2)/192.5</f>
        <v>3.6007645743373782E-3</v>
      </c>
      <c r="G4" s="11">
        <v>67</v>
      </c>
      <c r="H4" s="12">
        <v>3.4</v>
      </c>
      <c r="I4" s="13">
        <v>1.39</v>
      </c>
      <c r="J4" s="11">
        <v>2.1999999999999998E-8</v>
      </c>
      <c r="K4" s="11">
        <v>3.3000000000000002E-2</v>
      </c>
      <c r="L4" s="12">
        <v>120</v>
      </c>
      <c r="M4" s="13"/>
      <c r="N4" s="11">
        <v>0</v>
      </c>
      <c r="O4" s="10"/>
      <c r="P4" s="13"/>
      <c r="Q4" s="11"/>
      <c r="R4" s="13"/>
      <c r="S4" s="14" t="s">
        <v>82</v>
      </c>
      <c r="T4" s="15">
        <f>F_tli!Q30</f>
        <v>0.86283207229620873</v>
      </c>
    </row>
    <row r="5" spans="3:20" x14ac:dyDescent="0.25">
      <c r="C5" s="8" t="s">
        <v>189</v>
      </c>
      <c r="D5" s="9">
        <v>3.7499999999999999E-3</v>
      </c>
      <c r="E5" s="10">
        <v>6</v>
      </c>
      <c r="F5" s="11">
        <f>LN(2)/274.3</f>
        <v>2.5269674829017327E-3</v>
      </c>
      <c r="G5" s="11">
        <v>59</v>
      </c>
      <c r="H5" s="12">
        <v>6.7</v>
      </c>
      <c r="I5" s="13">
        <v>3.76</v>
      </c>
      <c r="J5" s="11">
        <v>9.9999999999999995E-8</v>
      </c>
      <c r="K5" s="11">
        <v>0</v>
      </c>
      <c r="L5" s="12"/>
      <c r="M5" s="13">
        <v>1</v>
      </c>
      <c r="N5" s="11">
        <v>0</v>
      </c>
      <c r="O5" s="10"/>
      <c r="P5" s="13">
        <v>0</v>
      </c>
      <c r="Q5" s="11"/>
      <c r="R5" s="13"/>
      <c r="S5" s="14" t="s">
        <v>83</v>
      </c>
      <c r="T5" s="15">
        <f>F_tli!Q727</f>
        <v>0.95846657958832937</v>
      </c>
    </row>
    <row r="6" spans="3:20" x14ac:dyDescent="0.25">
      <c r="C6" s="8" t="s">
        <v>84</v>
      </c>
      <c r="D6" s="9">
        <v>7.4</v>
      </c>
      <c r="E6" s="10">
        <v>5</v>
      </c>
      <c r="F6" s="11">
        <f>LN(2)/159.5</f>
        <v>4.3457503483382148E-3</v>
      </c>
      <c r="G6" s="11">
        <v>7</v>
      </c>
      <c r="H6" s="12">
        <v>0.6</v>
      </c>
      <c r="I6" s="13">
        <v>1.3</v>
      </c>
      <c r="J6" s="11">
        <v>5.3000000000000003E-10</v>
      </c>
      <c r="K6" s="11">
        <f>LN(2)/1.71</f>
        <v>0.40534922839762882</v>
      </c>
      <c r="L6" s="12"/>
      <c r="M6" s="13">
        <v>0.73</v>
      </c>
      <c r="N6" s="11">
        <f>LN(2)/55.2</f>
        <v>1.2557014140578719E-2</v>
      </c>
      <c r="O6" s="10"/>
      <c r="P6" s="13">
        <v>0.27</v>
      </c>
      <c r="Q6" s="11"/>
      <c r="R6" s="13"/>
      <c r="S6" s="14" t="s">
        <v>83</v>
      </c>
      <c r="T6" s="15">
        <f>F_tli!Q427</f>
        <v>1.0900683034286596</v>
      </c>
    </row>
    <row r="7" spans="3:20" x14ac:dyDescent="0.25">
      <c r="C7" s="8" t="s">
        <v>85</v>
      </c>
      <c r="D7" s="9">
        <v>3.7000000000000002E-3</v>
      </c>
      <c r="E7" s="10">
        <v>5</v>
      </c>
      <c r="F7" s="11">
        <f>LN(2)/3849.6</f>
        <v>1.8005693593099161E-4</v>
      </c>
      <c r="G7" s="11">
        <v>184</v>
      </c>
      <c r="H7" s="12">
        <v>14.1</v>
      </c>
      <c r="I7" s="13">
        <v>2.58</v>
      </c>
      <c r="J7" s="11">
        <v>1.6999999999999999E-9</v>
      </c>
      <c r="K7" s="11">
        <f>LN(2)/1.71</f>
        <v>0.40534922839762882</v>
      </c>
      <c r="L7" s="12"/>
      <c r="M7" s="13">
        <v>0.73</v>
      </c>
      <c r="N7" s="11">
        <f>LN(2)/55.2</f>
        <v>1.2557014140578719E-2</v>
      </c>
      <c r="O7" s="10"/>
      <c r="P7" s="13">
        <v>0.27</v>
      </c>
      <c r="Q7" s="11"/>
      <c r="R7" s="13"/>
      <c r="S7" s="14" t="s">
        <v>83</v>
      </c>
      <c r="T7" s="15">
        <f>F_tli!Q477</f>
        <v>0.99365734618278556</v>
      </c>
    </row>
    <row r="8" spans="3:20" x14ac:dyDescent="0.25">
      <c r="C8" s="8" t="s">
        <v>190</v>
      </c>
      <c r="D8" s="9">
        <v>4</v>
      </c>
      <c r="E8" s="10">
        <v>1</v>
      </c>
      <c r="F8" s="11">
        <f>LN(2)/64.1</f>
        <v>1.0813528557877462E-2</v>
      </c>
      <c r="G8" s="11">
        <v>1</v>
      </c>
      <c r="H8" s="12">
        <v>0</v>
      </c>
      <c r="I8" s="13">
        <v>1.61</v>
      </c>
      <c r="J8" s="11">
        <v>2.7000000000000002E-9</v>
      </c>
      <c r="K8" s="11">
        <v>0</v>
      </c>
      <c r="L8" s="12"/>
      <c r="M8" s="13">
        <v>1</v>
      </c>
      <c r="N8" s="11">
        <v>0</v>
      </c>
      <c r="O8" s="10"/>
      <c r="P8" s="13">
        <v>0</v>
      </c>
      <c r="Q8" s="11"/>
      <c r="R8" s="13"/>
      <c r="S8" s="14" t="s">
        <v>83</v>
      </c>
      <c r="T8" s="15">
        <f>F_tli!Q4</f>
        <v>0.81243225705131428</v>
      </c>
    </row>
    <row r="9" spans="3:20" x14ac:dyDescent="0.25">
      <c r="C9" s="8" t="s">
        <v>191</v>
      </c>
      <c r="D9" s="9">
        <v>1.2</v>
      </c>
      <c r="E9" s="10">
        <v>1</v>
      </c>
      <c r="F9" s="11">
        <f>LN(2)/64.1</f>
        <v>1.0813528557877462E-2</v>
      </c>
      <c r="G9" s="11">
        <v>1</v>
      </c>
      <c r="H9" s="12">
        <v>0</v>
      </c>
      <c r="I9" s="13">
        <v>1.61</v>
      </c>
      <c r="J9" s="11">
        <v>2.7000000000000002E-9</v>
      </c>
      <c r="K9" s="11">
        <v>0</v>
      </c>
      <c r="L9" s="12"/>
      <c r="M9" s="13">
        <v>1</v>
      </c>
      <c r="N9" s="11">
        <v>0</v>
      </c>
      <c r="O9" s="10"/>
      <c r="P9" s="13">
        <v>0</v>
      </c>
      <c r="Q9" s="11"/>
      <c r="R9" s="13"/>
      <c r="S9" s="14" t="s">
        <v>83</v>
      </c>
      <c r="T9" s="15">
        <f>F_tli!Q4</f>
        <v>0.81243225705131428</v>
      </c>
    </row>
    <row r="10" spans="3:20" x14ac:dyDescent="0.25">
      <c r="C10" s="8" t="s">
        <v>192</v>
      </c>
      <c r="D10" s="9">
        <v>0.22</v>
      </c>
      <c r="E10" s="10">
        <v>1</v>
      </c>
      <c r="F10" s="11">
        <f>LN(2)/64.1</f>
        <v>1.0813528557877462E-2</v>
      </c>
      <c r="G10" s="11">
        <v>1</v>
      </c>
      <c r="H10" s="12">
        <v>0</v>
      </c>
      <c r="I10" s="13">
        <v>1.61</v>
      </c>
      <c r="J10" s="11">
        <v>2.7000000000000002E-9</v>
      </c>
      <c r="K10" s="11">
        <v>0</v>
      </c>
      <c r="L10" s="12"/>
      <c r="M10" s="13">
        <v>1</v>
      </c>
      <c r="N10" s="11">
        <v>0</v>
      </c>
      <c r="O10" s="10"/>
      <c r="P10" s="13">
        <v>0</v>
      </c>
      <c r="Q10" s="11"/>
      <c r="R10" s="13"/>
      <c r="S10" s="14" t="s">
        <v>83</v>
      </c>
      <c r="T10" s="15">
        <f>F_tli!Q4</f>
        <v>0.81243225705131428</v>
      </c>
    </row>
    <row r="11" spans="3:20" x14ac:dyDescent="0.25">
      <c r="C11" s="8" t="s">
        <v>86</v>
      </c>
      <c r="D11" s="9">
        <v>0.222</v>
      </c>
      <c r="E11" s="10">
        <v>1</v>
      </c>
      <c r="F11" s="11">
        <f>LN(2)/89.2</f>
        <v>7.7707083022415385E-3</v>
      </c>
      <c r="G11" s="11">
        <v>4</v>
      </c>
      <c r="H11" s="12">
        <v>0.7</v>
      </c>
      <c r="I11" s="13">
        <v>1.64</v>
      </c>
      <c r="J11" s="11">
        <v>1.5E-9</v>
      </c>
      <c r="K11" s="11">
        <v>0</v>
      </c>
      <c r="L11" s="12"/>
      <c r="M11" s="13">
        <v>1</v>
      </c>
      <c r="N11" s="11">
        <v>0</v>
      </c>
      <c r="O11" s="10"/>
      <c r="P11" s="13">
        <v>0</v>
      </c>
      <c r="Q11" s="11"/>
      <c r="R11" s="13"/>
      <c r="S11" s="14" t="s">
        <v>83</v>
      </c>
      <c r="T11" s="15">
        <f>F_tli!Q498</f>
        <v>1.1227562394284381</v>
      </c>
    </row>
    <row r="12" spans="3:20" x14ac:dyDescent="0.25">
      <c r="C12" s="8" t="s">
        <v>87</v>
      </c>
      <c r="D12" s="9">
        <v>2</v>
      </c>
      <c r="E12" s="10">
        <v>1</v>
      </c>
      <c r="F12" s="11">
        <f>LN(2)/89.2</f>
        <v>7.7707083022415385E-3</v>
      </c>
      <c r="G12" s="11">
        <v>4</v>
      </c>
      <c r="H12" s="12">
        <v>0.7</v>
      </c>
      <c r="I12" s="13">
        <v>1.64</v>
      </c>
      <c r="J12" s="11">
        <v>1.5E-9</v>
      </c>
      <c r="K12" s="11">
        <f>LN(2)/3.9</f>
        <v>0.17773004629742187</v>
      </c>
      <c r="L12" s="12"/>
      <c r="M12" s="13">
        <v>0.54300000000000004</v>
      </c>
      <c r="N12" s="11">
        <f>LN(2)/139.7</f>
        <v>4.9616834685751281E-3</v>
      </c>
      <c r="O12" s="10"/>
      <c r="P12" s="13">
        <v>0.45700000000000002</v>
      </c>
      <c r="Q12" s="11"/>
      <c r="R12" s="13"/>
      <c r="S12" s="14" t="s">
        <v>83</v>
      </c>
      <c r="T12" s="15">
        <f>F_tli!Q498</f>
        <v>1.1227562394284381</v>
      </c>
    </row>
    <row r="13" spans="3:20" x14ac:dyDescent="0.25">
      <c r="C13" s="8" t="s">
        <v>88</v>
      </c>
      <c r="D13" s="9">
        <v>2</v>
      </c>
      <c r="E13" s="10">
        <v>1</v>
      </c>
      <c r="F13" s="11">
        <f>LN(2)/17</f>
        <v>4.0773363562349722E-2</v>
      </c>
      <c r="G13" s="11">
        <v>10</v>
      </c>
      <c r="H13" s="12">
        <v>0.9</v>
      </c>
      <c r="I13" s="13">
        <v>1.78</v>
      </c>
      <c r="J13" s="11">
        <v>1.3999999999999999E-9</v>
      </c>
      <c r="K13" s="11">
        <f>LN(2)/3.9</f>
        <v>0.17773004629742187</v>
      </c>
      <c r="L13" s="12"/>
      <c r="M13" s="13">
        <v>0.54300000000000004</v>
      </c>
      <c r="N13" s="11">
        <f>LN(2)/139.7</f>
        <v>4.9616834685751281E-3</v>
      </c>
      <c r="O13" s="10"/>
      <c r="P13" s="13">
        <v>0.45700000000000002</v>
      </c>
      <c r="Q13" s="11"/>
      <c r="R13" s="13"/>
      <c r="S13" s="14" t="s">
        <v>83</v>
      </c>
      <c r="T13" s="15">
        <f>F_tli!Q557</f>
        <v>0.97006175374593806</v>
      </c>
    </row>
    <row r="14" spans="3:20" x14ac:dyDescent="0.25">
      <c r="C14" s="8" t="s">
        <v>34</v>
      </c>
      <c r="D14" s="9">
        <v>3.7</v>
      </c>
      <c r="E14" s="10">
        <v>1</v>
      </c>
      <c r="F14" s="11">
        <f>LN(2)/46.5</f>
        <v>1.490639097978377E-2</v>
      </c>
      <c r="G14" s="11">
        <v>19</v>
      </c>
      <c r="H14" s="12">
        <v>1.7</v>
      </c>
      <c r="I14" s="13">
        <v>1.55</v>
      </c>
      <c r="J14" s="11">
        <v>7.4000000000000003E-10</v>
      </c>
      <c r="K14" s="11">
        <f>LN(2)/1.4</f>
        <v>0.49510512897138953</v>
      </c>
      <c r="L14" s="12"/>
      <c r="M14" s="13">
        <v>0.4</v>
      </c>
      <c r="N14" s="11">
        <v>0</v>
      </c>
      <c r="O14" s="10"/>
      <c r="P14" s="13">
        <v>0.6</v>
      </c>
      <c r="Q14" s="11"/>
      <c r="R14" s="13"/>
      <c r="S14" s="14" t="s">
        <v>83</v>
      </c>
      <c r="T14" s="15">
        <f>F_tli!Q98</f>
        <v>0.78103539322473181</v>
      </c>
    </row>
    <row r="15" spans="3:20" x14ac:dyDescent="0.25">
      <c r="C15" s="8" t="s">
        <v>35</v>
      </c>
      <c r="D15" s="9">
        <f>0.0001*D14</f>
        <v>3.7000000000000005E-4</v>
      </c>
      <c r="E15" s="14">
        <v>1</v>
      </c>
      <c r="F15" s="11">
        <f>LN(2)/75326</f>
        <v>9.2019645349540044E-6</v>
      </c>
      <c r="G15" s="11">
        <v>193</v>
      </c>
      <c r="H15" s="12">
        <v>5.3</v>
      </c>
      <c r="I15" s="13">
        <v>1.83</v>
      </c>
      <c r="J15" s="11">
        <v>2.0000000000000001E-9</v>
      </c>
      <c r="K15" s="11">
        <f>LN(2)/1.4</f>
        <v>0.49510512897138953</v>
      </c>
      <c r="L15" s="14"/>
      <c r="M15" s="13">
        <v>0.4</v>
      </c>
      <c r="N15" s="11">
        <v>0</v>
      </c>
      <c r="O15" s="14"/>
      <c r="P15" s="13">
        <v>0.6</v>
      </c>
      <c r="Q15" s="14"/>
      <c r="R15" s="14"/>
      <c r="S15" s="14" t="s">
        <v>83</v>
      </c>
      <c r="T15" s="15">
        <f>F_tli!Q409</f>
        <v>0.78528391703715106</v>
      </c>
    </row>
    <row r="16" spans="3:20" x14ac:dyDescent="0.25">
      <c r="C16" s="8" t="s">
        <v>36</v>
      </c>
      <c r="D16" s="9">
        <f>0.0001*D14</f>
        <v>3.7000000000000005E-4</v>
      </c>
      <c r="E16" s="14">
        <v>1</v>
      </c>
      <c r="F16" s="11">
        <f>LN(2)/118665</f>
        <v>5.8412099655327631E-6</v>
      </c>
      <c r="G16" s="11">
        <v>189</v>
      </c>
      <c r="H16" s="12">
        <v>4.2</v>
      </c>
      <c r="I16" s="13">
        <v>0.84899999999999998</v>
      </c>
      <c r="J16" s="11">
        <v>1.3999999999999999E-9</v>
      </c>
      <c r="K16" s="11">
        <f>LN(2)/1.4</f>
        <v>0.49510512897138953</v>
      </c>
      <c r="L16" s="14"/>
      <c r="M16" s="13">
        <v>0.4</v>
      </c>
      <c r="N16" s="11">
        <v>0</v>
      </c>
      <c r="O16" s="14"/>
      <c r="P16" s="13">
        <v>0.6</v>
      </c>
      <c r="Q16" s="14"/>
      <c r="R16" s="14"/>
      <c r="S16" s="14" t="s">
        <v>83</v>
      </c>
      <c r="T16" s="15">
        <f>F_tli!Q239</f>
        <v>0.77232009129535695</v>
      </c>
    </row>
    <row r="17" spans="3:20" x14ac:dyDescent="0.25">
      <c r="C17" s="8" t="s">
        <v>89</v>
      </c>
      <c r="D17" s="9">
        <v>0.14799999999999999</v>
      </c>
      <c r="E17" s="10">
        <v>1</v>
      </c>
      <c r="F17" s="11">
        <f>LN(2)/1212.7</f>
        <v>5.7157349761684283E-4</v>
      </c>
      <c r="G17" s="11">
        <v>0</v>
      </c>
      <c r="H17" s="12">
        <v>0</v>
      </c>
      <c r="I17" s="13">
        <v>1.59</v>
      </c>
      <c r="J17" s="11">
        <v>2.6000000000000001E-9</v>
      </c>
      <c r="K17" s="11">
        <v>0</v>
      </c>
      <c r="L17" s="12"/>
      <c r="M17" s="13">
        <v>1</v>
      </c>
      <c r="N17" s="11">
        <v>0</v>
      </c>
      <c r="O17" s="10"/>
      <c r="P17" s="13">
        <v>0</v>
      </c>
      <c r="Q17" s="11"/>
      <c r="R17" s="13"/>
      <c r="S17" s="14" t="s">
        <v>83</v>
      </c>
      <c r="T17" s="15">
        <v>1</v>
      </c>
    </row>
    <row r="18" spans="3:20" x14ac:dyDescent="0.25">
      <c r="C18" s="8" t="s">
        <v>90</v>
      </c>
      <c r="D18" s="9">
        <v>3.3000000000000002E-2</v>
      </c>
      <c r="E18" s="10">
        <v>1</v>
      </c>
      <c r="F18" s="11">
        <f>LN(2)/225.6</f>
        <v>3.0724609067373462E-3</v>
      </c>
      <c r="G18" s="11">
        <v>0</v>
      </c>
      <c r="H18" s="12">
        <v>0</v>
      </c>
      <c r="I18" s="13">
        <v>0.98099999999999998</v>
      </c>
      <c r="J18" s="11">
        <v>3.7000000000000001E-10</v>
      </c>
      <c r="K18" s="11">
        <v>0</v>
      </c>
      <c r="L18" s="12"/>
      <c r="M18" s="13">
        <v>1</v>
      </c>
      <c r="N18" s="11">
        <v>0</v>
      </c>
      <c r="O18" s="10"/>
      <c r="P18" s="13">
        <v>0</v>
      </c>
      <c r="Q18" s="11"/>
      <c r="R18" s="13"/>
      <c r="S18" s="14" t="s">
        <v>83</v>
      </c>
      <c r="T18" s="15">
        <f>F_tli!Q414</f>
        <v>0.38894514074297049</v>
      </c>
    </row>
    <row r="19" spans="3:20" ht="15.75" thickBot="1" x14ac:dyDescent="0.3">
      <c r="C19" s="16" t="s">
        <v>25</v>
      </c>
      <c r="D19" s="17">
        <v>0</v>
      </c>
      <c r="E19" s="18">
        <v>0</v>
      </c>
      <c r="F19" s="19">
        <v>0</v>
      </c>
      <c r="G19" s="19">
        <v>0</v>
      </c>
      <c r="H19" s="20">
        <v>0</v>
      </c>
      <c r="I19" s="21">
        <v>0</v>
      </c>
      <c r="J19" s="19">
        <v>0</v>
      </c>
      <c r="K19" s="19">
        <v>0</v>
      </c>
      <c r="L19" s="22"/>
      <c r="M19" s="21">
        <v>1</v>
      </c>
      <c r="N19" s="19">
        <v>0</v>
      </c>
      <c r="O19" s="22"/>
      <c r="P19" s="21">
        <v>0</v>
      </c>
      <c r="Q19" s="22"/>
      <c r="R19" s="22"/>
      <c r="S19" s="22" t="s">
        <v>83</v>
      </c>
      <c r="T19" s="28">
        <v>1</v>
      </c>
    </row>
    <row r="20" spans="3:20" s="4" customFormat="1" x14ac:dyDescent="0.25"/>
    <row r="21" spans="3:20" s="4" customFormat="1" x14ac:dyDescent="0.25"/>
    <row r="22" spans="3:20" s="4" customFormat="1" x14ac:dyDescent="0.25"/>
    <row r="23" spans="3:20" s="4" customFormat="1" x14ac:dyDescent="0.25"/>
    <row r="24" spans="3:20" s="4" customFormat="1" x14ac:dyDescent="0.25"/>
    <row r="25" spans="3:20" s="4" customFormat="1" x14ac:dyDescent="0.25">
      <c r="F25" s="5"/>
    </row>
    <row r="26" spans="3:20" s="4" customFormat="1" x14ac:dyDescent="0.25">
      <c r="M26" s="5"/>
    </row>
    <row r="27" spans="3:20" s="4" customFormat="1" x14ac:dyDescent="0.25"/>
    <row r="28" spans="3:20" s="4" customFormat="1" x14ac:dyDescent="0.25"/>
    <row r="29" spans="3:20" s="4" customFormat="1" x14ac:dyDescent="0.25"/>
    <row r="30" spans="3:20" s="4" customFormat="1" x14ac:dyDescent="0.25"/>
    <row r="31" spans="3:20" s="4" customFormat="1" x14ac:dyDescent="0.25"/>
    <row r="32" spans="3:20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  <row r="42" s="4" customFormat="1" x14ac:dyDescent="0.25"/>
    <row r="43" s="4" customFormat="1" x14ac:dyDescent="0.25"/>
    <row r="44" s="4" customFormat="1" x14ac:dyDescent="0.25"/>
    <row r="45" s="4" customFormat="1" x14ac:dyDescent="0.25"/>
    <row r="46" s="4" customFormat="1" x14ac:dyDescent="0.25"/>
    <row r="47" s="4" customFormat="1" x14ac:dyDescent="0.25"/>
    <row r="48" s="4" customFormat="1" x14ac:dyDescent="0.25"/>
    <row r="49" s="4" customFormat="1" x14ac:dyDescent="0.25"/>
    <row r="50" s="4" customFormat="1" x14ac:dyDescent="0.25"/>
    <row r="51" s="4" customFormat="1" x14ac:dyDescent="0.25"/>
    <row r="52" s="4" customFormat="1" x14ac:dyDescent="0.25"/>
    <row r="53" s="4" customFormat="1" x14ac:dyDescent="0.25"/>
    <row r="54" s="4" customFormat="1" x14ac:dyDescent="0.25"/>
    <row r="55" s="4" customFormat="1" x14ac:dyDescent="0.25"/>
    <row r="56" s="4" customFormat="1" x14ac:dyDescent="0.25"/>
    <row r="57" s="4" customFormat="1" x14ac:dyDescent="0.25"/>
    <row r="58" s="4" customFormat="1" x14ac:dyDescent="0.25"/>
    <row r="59" s="4" customFormat="1" x14ac:dyDescent="0.25"/>
    <row r="60" s="4" customFormat="1" x14ac:dyDescent="0.25"/>
    <row r="61" s="4" customFormat="1" x14ac:dyDescent="0.25"/>
    <row r="62" s="4" customFormat="1" x14ac:dyDescent="0.25"/>
    <row r="63" s="4" customFormat="1" x14ac:dyDescent="0.25"/>
    <row r="64" s="4" customFormat="1" x14ac:dyDescent="0.25"/>
    <row r="65" s="4" customFormat="1" x14ac:dyDescent="0.25"/>
    <row r="66" s="4" customFormat="1" x14ac:dyDescent="0.25"/>
    <row r="67" s="4" customFormat="1" x14ac:dyDescent="0.25"/>
    <row r="68" s="4" customFormat="1" x14ac:dyDescent="0.25"/>
    <row r="69" s="4" customFormat="1" x14ac:dyDescent="0.25"/>
    <row r="70" s="4" customFormat="1" x14ac:dyDescent="0.25"/>
    <row r="71" s="4" customFormat="1" x14ac:dyDescent="0.25"/>
    <row r="72" s="4" customFormat="1" x14ac:dyDescent="0.25"/>
    <row r="73" s="4" customFormat="1" x14ac:dyDescent="0.25"/>
    <row r="74" s="4" customFormat="1" x14ac:dyDescent="0.25"/>
    <row r="75" s="4" customFormat="1" x14ac:dyDescent="0.25"/>
    <row r="76" s="4" customFormat="1" x14ac:dyDescent="0.25"/>
    <row r="77" s="4" customFormat="1" x14ac:dyDescent="0.25"/>
    <row r="78" s="4" customFormat="1" x14ac:dyDescent="0.25"/>
    <row r="79" s="4" customFormat="1" x14ac:dyDescent="0.25"/>
    <row r="80" s="4" customFormat="1" x14ac:dyDescent="0.25"/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97" s="4" customFormat="1" x14ac:dyDescent="0.25"/>
    <row r="98" s="4" customFormat="1" x14ac:dyDescent="0.25"/>
    <row r="99" s="4" customFormat="1" x14ac:dyDescent="0.25"/>
    <row r="100" s="4" customFormat="1" x14ac:dyDescent="0.25"/>
    <row r="101" s="4" customFormat="1" x14ac:dyDescent="0.25"/>
    <row r="102" s="4" customFormat="1" x14ac:dyDescent="0.25"/>
    <row r="103" s="4" customFormat="1" x14ac:dyDescent="0.25"/>
    <row r="104" s="4" customFormat="1" x14ac:dyDescent="0.25"/>
    <row r="105" s="4" customFormat="1" x14ac:dyDescent="0.25"/>
    <row r="106" s="4" customFormat="1" x14ac:dyDescent="0.25"/>
    <row r="107" s="4" customFormat="1" x14ac:dyDescent="0.25"/>
    <row r="108" s="4" customFormat="1" x14ac:dyDescent="0.25"/>
    <row r="109" s="4" customFormat="1" x14ac:dyDescent="0.25"/>
    <row r="110" s="4" customFormat="1" x14ac:dyDescent="0.25"/>
    <row r="111" s="4" customFormat="1" x14ac:dyDescent="0.25"/>
    <row r="112" s="4" customFormat="1" x14ac:dyDescent="0.25"/>
    <row r="113" s="4" customFormat="1" x14ac:dyDescent="0.25"/>
    <row r="114" s="4" customFormat="1" x14ac:dyDescent="0.25"/>
    <row r="115" s="4" customFormat="1" x14ac:dyDescent="0.25"/>
    <row r="116" s="4" customFormat="1" x14ac:dyDescent="0.25"/>
    <row r="117" s="4" customFormat="1" x14ac:dyDescent="0.25"/>
    <row r="118" s="4" customFormat="1" x14ac:dyDescent="0.25"/>
    <row r="119" s="4" customFormat="1" x14ac:dyDescent="0.25"/>
    <row r="120" s="4" customFormat="1" x14ac:dyDescent="0.25"/>
    <row r="121" s="4" customFormat="1" x14ac:dyDescent="0.25"/>
    <row r="122" s="4" customFormat="1" x14ac:dyDescent="0.25"/>
    <row r="123" s="4" customFormat="1" x14ac:dyDescent="0.25"/>
    <row r="124" s="4" customFormat="1" x14ac:dyDescent="0.25"/>
    <row r="125" s="4" customFormat="1" x14ac:dyDescent="0.25"/>
    <row r="126" s="4" customFormat="1" x14ac:dyDescent="0.25"/>
    <row r="127" s="4" customFormat="1" x14ac:dyDescent="0.25"/>
    <row r="128" s="4" customFormat="1" x14ac:dyDescent="0.25"/>
    <row r="129" s="4" customFormat="1" x14ac:dyDescent="0.25"/>
    <row r="130" s="4" customFormat="1" x14ac:dyDescent="0.25"/>
    <row r="131" s="4" customFormat="1" x14ac:dyDescent="0.25"/>
    <row r="132" s="4" customFormat="1" x14ac:dyDescent="0.25"/>
    <row r="133" s="4" customFormat="1" x14ac:dyDescent="0.25"/>
    <row r="134" s="4" customFormat="1" x14ac:dyDescent="0.25"/>
    <row r="135" s="4" customFormat="1" x14ac:dyDescent="0.25"/>
    <row r="136" s="4" customFormat="1" x14ac:dyDescent="0.25"/>
    <row r="137" s="4" customFormat="1" x14ac:dyDescent="0.25"/>
    <row r="138" s="4" customFormat="1" x14ac:dyDescent="0.25"/>
    <row r="139" s="4" customFormat="1" x14ac:dyDescent="0.25"/>
    <row r="140" s="4" customFormat="1" x14ac:dyDescent="0.25"/>
    <row r="141" s="4" customFormat="1" x14ac:dyDescent="0.25"/>
    <row r="142" s="4" customFormat="1" x14ac:dyDescent="0.25"/>
    <row r="143" s="4" customFormat="1" x14ac:dyDescent="0.25"/>
    <row r="144" s="4" customFormat="1" x14ac:dyDescent="0.25"/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  <row r="179" s="4" customFormat="1" x14ac:dyDescent="0.25"/>
    <row r="180" s="4" customFormat="1" x14ac:dyDescent="0.25"/>
    <row r="181" s="4" customFormat="1" x14ac:dyDescent="0.25"/>
    <row r="182" s="4" customFormat="1" x14ac:dyDescent="0.25"/>
    <row r="183" s="4" customFormat="1" x14ac:dyDescent="0.25"/>
    <row r="184" s="4" customFormat="1" x14ac:dyDescent="0.25"/>
    <row r="185" s="4" customFormat="1" x14ac:dyDescent="0.25"/>
    <row r="186" s="4" customFormat="1" x14ac:dyDescent="0.25"/>
    <row r="187" s="4" customFormat="1" x14ac:dyDescent="0.25"/>
    <row r="188" s="4" customFormat="1" x14ac:dyDescent="0.25"/>
    <row r="189" s="4" customFormat="1" x14ac:dyDescent="0.25"/>
    <row r="190" s="4" customFormat="1" x14ac:dyDescent="0.25"/>
    <row r="191" s="4" customFormat="1" x14ac:dyDescent="0.25"/>
    <row r="192" s="4" customFormat="1" x14ac:dyDescent="0.25"/>
    <row r="193" s="4" customFormat="1" x14ac:dyDescent="0.25"/>
    <row r="194" s="4" customFormat="1" x14ac:dyDescent="0.25"/>
    <row r="195" s="4" customFormat="1" x14ac:dyDescent="0.25"/>
    <row r="196" s="4" customFormat="1" x14ac:dyDescent="0.25"/>
    <row r="197" s="4" customFormat="1" x14ac:dyDescent="0.25"/>
    <row r="198" s="4" customFormat="1" x14ac:dyDescent="0.25"/>
    <row r="199" s="4" customFormat="1" x14ac:dyDescent="0.25"/>
    <row r="200" s="4" customFormat="1" x14ac:dyDescent="0.25"/>
    <row r="201" s="4" customFormat="1" x14ac:dyDescent="0.25"/>
    <row r="202" s="4" customFormat="1" x14ac:dyDescent="0.25"/>
    <row r="203" s="4" customFormat="1" x14ac:dyDescent="0.25"/>
    <row r="204" s="4" customFormat="1" x14ac:dyDescent="0.25"/>
    <row r="205" s="4" customFormat="1" x14ac:dyDescent="0.25"/>
    <row r="206" s="4" customFormat="1" x14ac:dyDescent="0.25"/>
    <row r="207" s="4" customFormat="1" x14ac:dyDescent="0.25"/>
    <row r="208" s="4" customFormat="1" x14ac:dyDescent="0.25"/>
    <row r="209" s="4" customFormat="1" x14ac:dyDescent="0.25"/>
    <row r="210" s="4" customFormat="1" x14ac:dyDescent="0.25"/>
    <row r="211" s="4" customFormat="1" x14ac:dyDescent="0.25"/>
    <row r="212" s="4" customFormat="1" x14ac:dyDescent="0.25"/>
    <row r="213" s="4" customFormat="1" x14ac:dyDescent="0.25"/>
    <row r="214" s="4" customFormat="1" x14ac:dyDescent="0.25"/>
    <row r="215" s="4" customFormat="1" x14ac:dyDescent="0.25"/>
    <row r="216" s="4" customFormat="1" x14ac:dyDescent="0.25"/>
    <row r="217" s="4" customFormat="1" x14ac:dyDescent="0.25"/>
    <row r="218" s="4" customFormat="1" x14ac:dyDescent="0.25"/>
    <row r="219" s="4" customFormat="1" x14ac:dyDescent="0.25"/>
    <row r="220" s="4" customFormat="1" x14ac:dyDescent="0.25"/>
    <row r="221" s="4" customFormat="1" x14ac:dyDescent="0.25"/>
    <row r="222" s="4" customFormat="1" x14ac:dyDescent="0.25"/>
    <row r="223" s="4" customFormat="1" x14ac:dyDescent="0.25"/>
    <row r="224" s="4" customFormat="1" x14ac:dyDescent="0.25"/>
    <row r="225" s="4" customFormat="1" x14ac:dyDescent="0.25"/>
    <row r="226" s="4" customFormat="1" x14ac:dyDescent="0.25"/>
    <row r="227" s="4" customFormat="1" x14ac:dyDescent="0.25"/>
    <row r="228" s="4" customFormat="1" x14ac:dyDescent="0.25"/>
    <row r="229" s="4" customFormat="1" x14ac:dyDescent="0.25"/>
    <row r="230" s="4" customFormat="1" x14ac:dyDescent="0.25"/>
    <row r="231" s="4" customFormat="1" x14ac:dyDescent="0.25"/>
    <row r="232" s="4" customFormat="1" x14ac:dyDescent="0.25"/>
    <row r="233" s="4" customFormat="1" x14ac:dyDescent="0.25"/>
    <row r="234" s="4" customFormat="1" x14ac:dyDescent="0.25"/>
    <row r="235" s="4" customFormat="1" x14ac:dyDescent="0.25"/>
    <row r="236" s="4" customFormat="1" x14ac:dyDescent="0.25"/>
    <row r="237" s="4" customFormat="1" x14ac:dyDescent="0.25"/>
    <row r="238" s="4" customFormat="1" x14ac:dyDescent="0.25"/>
    <row r="239" s="4" customFormat="1" x14ac:dyDescent="0.25"/>
    <row r="24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  <row r="363" s="4" customFormat="1" x14ac:dyDescent="0.25"/>
    <row r="364" s="4" customFormat="1" x14ac:dyDescent="0.25"/>
    <row r="365" s="4" customFormat="1" x14ac:dyDescent="0.25"/>
    <row r="366" s="4" customFormat="1" x14ac:dyDescent="0.25"/>
    <row r="367" s="4" customFormat="1" x14ac:dyDescent="0.25"/>
    <row r="368" s="4" customFormat="1" x14ac:dyDescent="0.25"/>
    <row r="369" s="4" customFormat="1" x14ac:dyDescent="0.25"/>
    <row r="370" s="4" customFormat="1" x14ac:dyDescent="0.25"/>
    <row r="371" s="4" customFormat="1" x14ac:dyDescent="0.25"/>
    <row r="372" s="4" customFormat="1" x14ac:dyDescent="0.25"/>
    <row r="373" s="4" customFormat="1" x14ac:dyDescent="0.25"/>
    <row r="374" s="4" customFormat="1" x14ac:dyDescent="0.25"/>
    <row r="375" s="4" customFormat="1" x14ac:dyDescent="0.25"/>
    <row r="376" s="4" customFormat="1" x14ac:dyDescent="0.25"/>
    <row r="377" s="4" customFormat="1" x14ac:dyDescent="0.25"/>
    <row r="378" s="4" customFormat="1" x14ac:dyDescent="0.25"/>
    <row r="379" s="4" customFormat="1" x14ac:dyDescent="0.25"/>
    <row r="380" s="4" customFormat="1" x14ac:dyDescent="0.25"/>
    <row r="381" s="4" customFormat="1" x14ac:dyDescent="0.25"/>
    <row r="382" s="4" customFormat="1" x14ac:dyDescent="0.25"/>
    <row r="383" s="4" customFormat="1" x14ac:dyDescent="0.25"/>
    <row r="384" s="4" customFormat="1" x14ac:dyDescent="0.25"/>
    <row r="385" s="4" customFormat="1" x14ac:dyDescent="0.25"/>
    <row r="386" s="4" customFormat="1" x14ac:dyDescent="0.25"/>
    <row r="387" s="4" customFormat="1" x14ac:dyDescent="0.25"/>
    <row r="388" s="4" customFormat="1" x14ac:dyDescent="0.25"/>
    <row r="389" s="4" customFormat="1" x14ac:dyDescent="0.25"/>
    <row r="390" s="4" customFormat="1" x14ac:dyDescent="0.25"/>
    <row r="391" s="4" customFormat="1" x14ac:dyDescent="0.25"/>
    <row r="392" s="4" customFormat="1" x14ac:dyDescent="0.25"/>
    <row r="393" s="4" customFormat="1" x14ac:dyDescent="0.25"/>
    <row r="394" s="4" customFormat="1" x14ac:dyDescent="0.25"/>
    <row r="395" s="4" customFormat="1" x14ac:dyDescent="0.25"/>
    <row r="396" s="4" customFormat="1" x14ac:dyDescent="0.25"/>
    <row r="397" s="4" customFormat="1" x14ac:dyDescent="0.25"/>
    <row r="398" s="4" customFormat="1" x14ac:dyDescent="0.25"/>
    <row r="399" s="4" customFormat="1" x14ac:dyDescent="0.25"/>
    <row r="400" s="4" customFormat="1" x14ac:dyDescent="0.25"/>
    <row r="401" s="4" customFormat="1" x14ac:dyDescent="0.25"/>
    <row r="402" s="4" customFormat="1" x14ac:dyDescent="0.25"/>
    <row r="403" s="4" customFormat="1" x14ac:dyDescent="0.25"/>
    <row r="404" s="4" customFormat="1" x14ac:dyDescent="0.25"/>
    <row r="405" s="4" customFormat="1" x14ac:dyDescent="0.25"/>
    <row r="406" s="4" customFormat="1" x14ac:dyDescent="0.25"/>
    <row r="407" s="4" customFormat="1" x14ac:dyDescent="0.25"/>
    <row r="408" s="4" customFormat="1" x14ac:dyDescent="0.25"/>
    <row r="409" s="4" customFormat="1" x14ac:dyDescent="0.25"/>
    <row r="410" s="4" customFormat="1" x14ac:dyDescent="0.25"/>
    <row r="411" s="4" customFormat="1" x14ac:dyDescent="0.25"/>
    <row r="412" s="4" customFormat="1" x14ac:dyDescent="0.25"/>
    <row r="413" s="4" customFormat="1" x14ac:dyDescent="0.25"/>
    <row r="414" s="4" customFormat="1" x14ac:dyDescent="0.25"/>
    <row r="415" s="4" customFormat="1" x14ac:dyDescent="0.25"/>
    <row r="416" s="4" customFormat="1" x14ac:dyDescent="0.25"/>
    <row r="417" s="4" customFormat="1" x14ac:dyDescent="0.25"/>
    <row r="418" s="4" customFormat="1" x14ac:dyDescent="0.25"/>
    <row r="419" s="4" customFormat="1" x14ac:dyDescent="0.25"/>
    <row r="420" s="4" customFormat="1" x14ac:dyDescent="0.25"/>
    <row r="421" s="4" customFormat="1" x14ac:dyDescent="0.25"/>
    <row r="422" s="4" customFormat="1" x14ac:dyDescent="0.25"/>
    <row r="423" s="4" customFormat="1" x14ac:dyDescent="0.25"/>
    <row r="424" s="4" customFormat="1" x14ac:dyDescent="0.25"/>
    <row r="425" s="4" customFormat="1" x14ac:dyDescent="0.25"/>
    <row r="426" s="4" customFormat="1" x14ac:dyDescent="0.25"/>
    <row r="427" s="4" customFormat="1" x14ac:dyDescent="0.25"/>
    <row r="428" s="4" customFormat="1" x14ac:dyDescent="0.25"/>
    <row r="429" s="4" customFormat="1" x14ac:dyDescent="0.25"/>
    <row r="430" s="4" customFormat="1" x14ac:dyDescent="0.25"/>
    <row r="431" s="4" customFormat="1" x14ac:dyDescent="0.25"/>
    <row r="432" s="4" customFormat="1" x14ac:dyDescent="0.25"/>
    <row r="433" s="4" customFormat="1" x14ac:dyDescent="0.25"/>
    <row r="434" s="4" customFormat="1" x14ac:dyDescent="0.25"/>
    <row r="435" s="4" customFormat="1" x14ac:dyDescent="0.25"/>
    <row r="436" s="4" customFormat="1" x14ac:dyDescent="0.25"/>
    <row r="437" s="4" customFormat="1" x14ac:dyDescent="0.25"/>
    <row r="438" s="4" customFormat="1" x14ac:dyDescent="0.25"/>
    <row r="439" s="4" customFormat="1" x14ac:dyDescent="0.25"/>
    <row r="440" s="4" customFormat="1" x14ac:dyDescent="0.25"/>
    <row r="441" s="4" customFormat="1" x14ac:dyDescent="0.25"/>
    <row r="442" s="4" customFormat="1" x14ac:dyDescent="0.25"/>
    <row r="443" s="4" customFormat="1" x14ac:dyDescent="0.25"/>
    <row r="444" s="4" customFormat="1" x14ac:dyDescent="0.25"/>
    <row r="445" s="4" customFormat="1" x14ac:dyDescent="0.25"/>
    <row r="446" s="4" customFormat="1" x14ac:dyDescent="0.25"/>
    <row r="447" s="4" customFormat="1" x14ac:dyDescent="0.25"/>
    <row r="448" s="4" customFormat="1" x14ac:dyDescent="0.25"/>
    <row r="449" s="4" customFormat="1" x14ac:dyDescent="0.25"/>
    <row r="450" s="4" customFormat="1" x14ac:dyDescent="0.25"/>
    <row r="451" s="4" customFormat="1" x14ac:dyDescent="0.25"/>
    <row r="452" s="4" customFormat="1" x14ac:dyDescent="0.25"/>
    <row r="453" s="4" customFormat="1" x14ac:dyDescent="0.25"/>
    <row r="454" s="4" customFormat="1" x14ac:dyDescent="0.25"/>
    <row r="455" s="4" customFormat="1" x14ac:dyDescent="0.25"/>
    <row r="456" s="4" customFormat="1" x14ac:dyDescent="0.25"/>
    <row r="457" s="4" customFormat="1" x14ac:dyDescent="0.25"/>
    <row r="458" s="4" customFormat="1" x14ac:dyDescent="0.25"/>
    <row r="459" s="4" customFormat="1" x14ac:dyDescent="0.25"/>
    <row r="460" s="4" customFormat="1" x14ac:dyDescent="0.25"/>
    <row r="461" s="4" customFormat="1" x14ac:dyDescent="0.25"/>
    <row r="462" s="4" customFormat="1" x14ac:dyDescent="0.25"/>
    <row r="463" s="4" customFormat="1" x14ac:dyDescent="0.25"/>
    <row r="464" s="4" customFormat="1" x14ac:dyDescent="0.25"/>
    <row r="465" s="4" customFormat="1" x14ac:dyDescent="0.25"/>
    <row r="466" s="4" customFormat="1" x14ac:dyDescent="0.25"/>
    <row r="467" s="4" customFormat="1" x14ac:dyDescent="0.25"/>
    <row r="468" s="4" customFormat="1" x14ac:dyDescent="0.25"/>
    <row r="469" s="4" customFormat="1" x14ac:dyDescent="0.25"/>
    <row r="470" s="4" customFormat="1" x14ac:dyDescent="0.25"/>
    <row r="471" s="4" customFormat="1" x14ac:dyDescent="0.25"/>
    <row r="472" s="4" customFormat="1" x14ac:dyDescent="0.25"/>
    <row r="473" s="4" customFormat="1" x14ac:dyDescent="0.25"/>
    <row r="474" s="4" customFormat="1" x14ac:dyDescent="0.25"/>
    <row r="475" s="4" customFormat="1" x14ac:dyDescent="0.25"/>
    <row r="476" s="4" customFormat="1" x14ac:dyDescent="0.25"/>
    <row r="477" s="4" customFormat="1" x14ac:dyDescent="0.25"/>
    <row r="478" s="4" customFormat="1" x14ac:dyDescent="0.25"/>
    <row r="479" s="4" customFormat="1" x14ac:dyDescent="0.25"/>
    <row r="480" s="4" customFormat="1" x14ac:dyDescent="0.25"/>
    <row r="481" s="4" customFormat="1" x14ac:dyDescent="0.25"/>
    <row r="482" s="4" customFormat="1" x14ac:dyDescent="0.25"/>
    <row r="483" s="4" customFormat="1" x14ac:dyDescent="0.25"/>
    <row r="484" s="4" customFormat="1" x14ac:dyDescent="0.25"/>
    <row r="485" s="4" customFormat="1" x14ac:dyDescent="0.25"/>
    <row r="486" s="4" customFormat="1" x14ac:dyDescent="0.25"/>
    <row r="487" s="4" customFormat="1" x14ac:dyDescent="0.25"/>
    <row r="488" s="4" customFormat="1" x14ac:dyDescent="0.25"/>
    <row r="489" s="4" customFormat="1" x14ac:dyDescent="0.25"/>
    <row r="490" s="4" customFormat="1" x14ac:dyDescent="0.25"/>
    <row r="491" s="4" customFormat="1" x14ac:dyDescent="0.25"/>
    <row r="492" s="4" customFormat="1" x14ac:dyDescent="0.25"/>
    <row r="493" s="4" customFormat="1" x14ac:dyDescent="0.25"/>
    <row r="494" s="4" customFormat="1" x14ac:dyDescent="0.25"/>
    <row r="495" s="4" customFormat="1" x14ac:dyDescent="0.25"/>
    <row r="496" s="4" customFormat="1" x14ac:dyDescent="0.25"/>
    <row r="497" s="4" customFormat="1" x14ac:dyDescent="0.25"/>
    <row r="498" s="4" customFormat="1" x14ac:dyDescent="0.25"/>
    <row r="499" s="4" customFormat="1" x14ac:dyDescent="0.25"/>
    <row r="500" s="4" customFormat="1" x14ac:dyDescent="0.25"/>
    <row r="501" s="4" customFormat="1" x14ac:dyDescent="0.25"/>
    <row r="502" s="4" customFormat="1" x14ac:dyDescent="0.25"/>
    <row r="503" s="4" customFormat="1" x14ac:dyDescent="0.25"/>
    <row r="504" s="4" customFormat="1" x14ac:dyDescent="0.25"/>
    <row r="505" s="4" customFormat="1" x14ac:dyDescent="0.25"/>
    <row r="506" s="4" customFormat="1" x14ac:dyDescent="0.25"/>
    <row r="507" s="4" customFormat="1" x14ac:dyDescent="0.25"/>
    <row r="508" s="4" customFormat="1" x14ac:dyDescent="0.25"/>
    <row r="509" s="4" customFormat="1" x14ac:dyDescent="0.25"/>
    <row r="510" s="4" customFormat="1" x14ac:dyDescent="0.25"/>
    <row r="511" s="4" customFormat="1" x14ac:dyDescent="0.25"/>
    <row r="512" s="4" customFormat="1" x14ac:dyDescent="0.25"/>
    <row r="513" s="4" customFormat="1" x14ac:dyDescent="0.25"/>
    <row r="514" s="4" customFormat="1" x14ac:dyDescent="0.25"/>
    <row r="515" s="4" customFormat="1" x14ac:dyDescent="0.25"/>
    <row r="516" s="4" customFormat="1" x14ac:dyDescent="0.25"/>
    <row r="517" s="4" customFormat="1" x14ac:dyDescent="0.25"/>
    <row r="518" s="4" customFormat="1" x14ac:dyDescent="0.25"/>
    <row r="519" s="4" customFormat="1" x14ac:dyDescent="0.25"/>
    <row r="520" s="4" customFormat="1" x14ac:dyDescent="0.25"/>
    <row r="521" s="4" customFormat="1" x14ac:dyDescent="0.25"/>
    <row r="522" s="4" customFormat="1" x14ac:dyDescent="0.25"/>
    <row r="523" s="4" customFormat="1" x14ac:dyDescent="0.25"/>
    <row r="524" s="4" customFormat="1" x14ac:dyDescent="0.25"/>
    <row r="525" s="4" customFormat="1" x14ac:dyDescent="0.25"/>
    <row r="526" s="4" customFormat="1" x14ac:dyDescent="0.25"/>
    <row r="527" s="4" customFormat="1" x14ac:dyDescent="0.25"/>
    <row r="528" s="4" customFormat="1" x14ac:dyDescent="0.25"/>
    <row r="529" s="4" customFormat="1" x14ac:dyDescent="0.25"/>
    <row r="530" s="4" customFormat="1" x14ac:dyDescent="0.25"/>
    <row r="531" s="4" customFormat="1" x14ac:dyDescent="0.25"/>
    <row r="532" s="4" customFormat="1" x14ac:dyDescent="0.25"/>
    <row r="533" s="4" customFormat="1" x14ac:dyDescent="0.25"/>
    <row r="534" s="4" customFormat="1" x14ac:dyDescent="0.25"/>
    <row r="535" s="4" customFormat="1" x14ac:dyDescent="0.25"/>
    <row r="536" s="4" customFormat="1" x14ac:dyDescent="0.25"/>
    <row r="537" s="4" customFormat="1" x14ac:dyDescent="0.25"/>
    <row r="538" s="4" customFormat="1" x14ac:dyDescent="0.25"/>
    <row r="539" s="4" customFormat="1" x14ac:dyDescent="0.25"/>
    <row r="540" s="4" customFormat="1" x14ac:dyDescent="0.25"/>
  </sheetData>
  <sheetProtection algorithmName="SHA-512" hashValue="HIiSNmOY+JTAbWXVNzHf49ZDVSQPL6dcWZQovrKnV+xMILkoCp5nrYZtVdX7ayykB/nNZBoztKxHQkcnXx/O/w==" saltValue="aZ7prQnCOQE+sfave1ZOj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5"/>
  <dimension ref="A1:DR1263"/>
  <sheetViews>
    <sheetView zoomScale="85" zoomScaleNormal="85" workbookViewId="0">
      <pane ySplit="1" topLeftCell="A2" activePane="bottomLeft" state="frozen"/>
      <selection pane="bottomLeft" activeCell="S5" sqref="S5"/>
    </sheetView>
  </sheetViews>
  <sheetFormatPr defaultColWidth="8.85546875" defaultRowHeight="11.25" x14ac:dyDescent="0.2"/>
  <cols>
    <col min="1" max="1" width="21" style="63" customWidth="1"/>
    <col min="2" max="2" width="14.42578125" style="63" customWidth="1"/>
    <col min="3" max="3" width="10" style="81" customWidth="1"/>
    <col min="4" max="4" width="9.42578125" style="81" customWidth="1"/>
    <col min="5" max="5" width="15.7109375" style="81" customWidth="1"/>
    <col min="6" max="6" width="10.85546875" style="81" customWidth="1"/>
    <col min="7" max="7" width="10.140625" style="63" customWidth="1"/>
    <col min="8" max="8" width="6.5703125" style="63" customWidth="1"/>
    <col min="9" max="9" width="5.85546875" style="63" customWidth="1"/>
    <col min="10" max="11" width="5.7109375" style="63" customWidth="1"/>
    <col min="12" max="13" width="5.85546875" style="63" customWidth="1"/>
    <col min="14" max="14" width="7" style="63" customWidth="1"/>
    <col min="15" max="15" width="9.42578125" style="63" bestFit="1" customWidth="1"/>
    <col min="16" max="16" width="16" style="63" customWidth="1"/>
    <col min="17" max="17" width="11.5703125" style="63" customWidth="1"/>
    <col min="18" max="18" width="8.85546875" style="62"/>
    <col min="19" max="19" width="11" style="62" customWidth="1"/>
    <col min="20" max="20" width="11.7109375" style="62" customWidth="1"/>
    <col min="21" max="21" width="10.42578125" style="62" customWidth="1"/>
    <col min="22" max="122" width="8.85546875" style="62"/>
    <col min="123" max="16384" width="8.85546875" style="63"/>
  </cols>
  <sheetData>
    <row r="1" spans="1:122" s="56" customFormat="1" ht="42.75" customHeight="1" thickBot="1" x14ac:dyDescent="0.25">
      <c r="A1" s="43" t="s">
        <v>91</v>
      </c>
      <c r="B1" s="44" t="s">
        <v>92</v>
      </c>
      <c r="C1" s="45" t="s">
        <v>159</v>
      </c>
      <c r="D1" s="46" t="s">
        <v>93</v>
      </c>
      <c r="E1" s="47" t="s">
        <v>160</v>
      </c>
      <c r="F1" s="48" t="s">
        <v>158</v>
      </c>
      <c r="G1" s="49" t="s">
        <v>120</v>
      </c>
      <c r="H1" s="44" t="s">
        <v>94</v>
      </c>
      <c r="I1" s="50" t="s">
        <v>95</v>
      </c>
      <c r="J1" s="51" t="s">
        <v>96</v>
      </c>
      <c r="K1" s="51" t="s">
        <v>97</v>
      </c>
      <c r="L1" s="51" t="s">
        <v>98</v>
      </c>
      <c r="M1" s="52" t="s">
        <v>139</v>
      </c>
      <c r="N1" s="53" t="s">
        <v>99</v>
      </c>
      <c r="O1" s="53" t="s">
        <v>100</v>
      </c>
      <c r="P1" s="54" t="s">
        <v>121</v>
      </c>
      <c r="Q1" s="43" t="s">
        <v>140</v>
      </c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</row>
    <row r="2" spans="1:122" x14ac:dyDescent="0.2">
      <c r="A2" s="217" t="s">
        <v>141</v>
      </c>
      <c r="B2" s="57" t="s">
        <v>103</v>
      </c>
      <c r="C2" s="58">
        <v>0.51100000000000001</v>
      </c>
      <c r="D2" s="59">
        <f>C2*1000000*1.6E-19</f>
        <v>8.1759999999999997E-14</v>
      </c>
      <c r="E2" s="59">
        <v>6.3800000000000006E-5</v>
      </c>
      <c r="F2" s="59">
        <f>_xlfn.IFNA(INDEX('hp (pSv cm2)'!$B$2:$B$52,MATCH($C2,'hp (pSv cm2)'!$A$2:$A$52,1))+($C2-INDEX('hp (pSv cm2)'!$A$2:$A$52,MATCH($C2,'hp (pSv cm2)'!$A$2:$A$52,1)))*(INDEX('hp (pSv cm2)'!$B$2:$B$52,MATCH($C2,'hp (pSv cm2)'!$A$2:$A$52,1)+1)-INDEX('hp (pSv cm2)'!$B$2:$B$52,MATCH($C2,'hp (pSv cm2)'!$A$2:$A$52,1)))/(INDEX('hp (pSv cm2)'!$A$2:$A$52,MATCH($C2,'hp (pSv cm2)'!$A$2:$A$52,1)+1)-INDEX('hp (pSv cm2)'!$A$2:$A$52,MATCH($C2,'hp (pSv cm2)'!$A$2:$A$52,1))),$C2*'hp (pSv cm2)'!$B$2/'hp (pSv cm2)'!$A$2)</f>
        <v>2.5184000000000002</v>
      </c>
      <c r="G2" s="60">
        <f>F2*E2</f>
        <v>1.6067392000000002E-4</v>
      </c>
      <c r="H2" s="82">
        <f>_xlfn.IFNA(0.997*(INDEX('Mass attenuation coefficients'!$B$2:$B$37,MATCH($C2,'Mass attenuation coefficients'!$A$2:$A$37,1))+($C2-INDEX('Mass attenuation coefficients'!$A$2:$A$37,MATCH($C2,'Mass attenuation coefficients'!$A$2:$A$37,1)))*(INDEX('Mass attenuation coefficients'!$B$2:$B$37,MATCH($C2,'Mass attenuation coefficients'!$A$2:$A$37,1)+1)-INDEX('Mass attenuation coefficients'!$B$2:$B$37,MATCH($C2,'Mass attenuation coefficients'!$A$2:$A$37,1)))/(INDEX('Mass attenuation coefficients'!$A$2:$A$37,MATCH($C2,'Mass attenuation coefficients'!$A$2:$A$37,1)+1)-INDEX('Mass attenuation coefficients'!$A$2:$A$37,MATCH($C2,'Mass attenuation coefficients'!$A$2:$A$37,1)))),0.997*$C2*'Mass attenuation coefficients'!$B$2/'Mass attenuation coefficients'!$A$2)</f>
        <v>9.5777702299999989E-2</v>
      </c>
      <c r="I2" s="82">
        <f>_xlfn.IFNA(INDEX('Shultis Faw'!$C$2:$C$26,MATCH($C2,'Shultis Faw'!$A$2:$A$26,1))+($C2-INDEX('Shultis Faw'!$A$2:$A$26,MATCH($C2,'Shultis Faw'!$A$2:$A$26,1)))*(INDEX('Shultis Faw'!$C$2:$C$26,MATCH($C2,'Shultis Faw'!$A$2:$A$26,1)+1)-INDEX('Shultis Faw'!$C$2:$C$26,MATCH($C2,'Shultis Faw'!$A$2:$A$26,1)))/(INDEX('Shultis Faw'!$A$2:$A$26,MATCH($C2,'Shultis Faw'!$A$2:$A$26,1)+1)-INDEX('Shultis Faw'!$A$2:$A$26,MATCH($C2,'Shultis Faw'!$A$2:$A$26,1))),$C2*'Shultis Faw'!$C$2/'Shultis Faw'!$A$2)</f>
        <v>2.4864700000000002</v>
      </c>
      <c r="J2" s="82">
        <f>_xlfn.IFNA(INDEX('Shultis Faw'!$D$2:$D$26,MATCH($C2,'Shultis Faw'!$A$2:$A$26,1))+($C2-INDEX('Shultis Faw'!$A$2:$A$26,MATCH($C2,'Shultis Faw'!$A$2:$A$26,1)))*(INDEX('Shultis Faw'!$D$2:$D$26,MATCH($C2,'Shultis Faw'!$A$2:$A$26,1)+1)-INDEX('Shultis Faw'!$D$2:$D$26,MATCH($C2,'Shultis Faw'!$A$2:$A$26,1)))/(INDEX('Shultis Faw'!$A$2:$A$26,MATCH($C2,'Shultis Faw'!$A$2:$A$26,1)+1)-INDEX('Shultis Faw'!$A$2:$A$26,MATCH($C2,'Shultis Faw'!$A$2:$A$26,1))),$C2*'Shultis Faw'!$D$2/'Shultis Faw'!$A$2)</f>
        <v>1.7564299999999999</v>
      </c>
      <c r="K2" s="82">
        <f>_xlfn.IFNA(INDEX('Shultis Faw'!$B$2:$B$26,MATCH($C2,'Shultis Faw'!$A$2:$A$26,1))+($C2-INDEX('Shultis Faw'!$A$2:$A$26,MATCH($C2,'Shultis Faw'!$A$2:$A$26,1)))*(INDEX('Shultis Faw'!$B$2:$B$26,MATCH($C2,'Shultis Faw'!$A$2:$A$26,1)+1)-INDEX('Shultis Faw'!$B$2:$B$26,MATCH($C2,'Shultis Faw'!$A$2:$A$26,1)))/(INDEX('Shultis Faw'!$A$2:$A$26,MATCH($C2,'Shultis Faw'!$A$2:$A$26,1)+1)-INDEX('Shultis Faw'!$A$2:$A$26,MATCH($C2,'Shultis Faw'!$A$2:$A$26,1))),$C2*'Shultis Faw'!$B$2/'Shultis Faw'!$A$2)</f>
        <v>-0.13379000000000002</v>
      </c>
      <c r="L2" s="82">
        <f>_xlfn.IFNA(INDEX('Shultis Faw'!$E$2:$E$26,MATCH($C2,'Shultis Faw'!$A$2:$A$26,1))+($C2-INDEX('Shultis Faw'!$A$2:$A$26,MATCH($C2,'Shultis Faw'!$A$2:$A$26,1)))*(INDEX('Shultis Faw'!$E$2:$E$26,MATCH($C2,'Shultis Faw'!$A$2:$A$26,1)+1)-INDEX('Shultis Faw'!$E$2:$E$26,MATCH($C2,'Shultis Faw'!$A$2:$A$26,1)))/(INDEX('Shultis Faw'!$A$2:$A$26,MATCH($C2,'Shultis Faw'!$A$2:$A$26,1)+1)-INDEX('Shultis Faw'!$A$2:$A$26,MATCH($C2,'Shultis Faw'!$A$2:$A$26,1))),$C2*'Shultis Faw'!$E$2/'Shultis Faw'!$A$2)</f>
        <v>5.4127000000000002E-2</v>
      </c>
      <c r="M2" s="82">
        <f>_xlfn.IFNA(INDEX('Shultis Faw'!$F$2:$F$26,MATCH($C2,'Shultis Faw'!$A$2:$A$26,1))+($C2-INDEX('Shultis Faw'!$A$2:$A$26,MATCH($C2,'Shultis Faw'!$A$2:$A$26,1)))*(INDEX('Shultis Faw'!$F$2:$F$26,MATCH($C2,'Shultis Faw'!$A$2:$A$26,1)+1)-INDEX('Shultis Faw'!$F$2:$F$26,MATCH($C2,'Shultis Faw'!$A$2:$A$26,1)))/(INDEX('Shultis Faw'!$A$2:$A$26,MATCH($C2,'Shultis Faw'!$A$2:$A$26,1)+1)-INDEX('Shultis Faw'!$A$2:$A$26,MATCH($C2,'Shultis Faw'!$A$2:$A$26,1))),$C2*'Shultis Faw'!$F$2/'Shultis Faw'!$A$2)</f>
        <v>14.319000000000001</v>
      </c>
      <c r="N2" s="82">
        <f>J2*(H2*'Externe blootstelling'!$D$23/2)^K2+L2*(TANH(((H2*'Externe blootstelling'!$D$23)/(2*M2))-2)-TANH(-2))/(1-TANH(-2))</f>
        <v>1.6735325037658204</v>
      </c>
      <c r="O2" s="82">
        <f>IF(N2=1,1+(I2-1)*H2*'Externe blootstelling'!$D$23/2,1+(I2-1)*(N2^(H2*'Externe blootstelling'!$D$23/2)-1)/(N2-1))</f>
        <v>3.417740101020692</v>
      </c>
      <c r="P2" s="60">
        <f>G2*EXP(-H2*'Externe blootstelling'!$D$23/2)*O2</f>
        <v>1.3054147320005658E-4</v>
      </c>
      <c r="Q2" s="61"/>
    </row>
    <row r="3" spans="1:122" x14ac:dyDescent="0.2">
      <c r="A3" s="217"/>
      <c r="B3" s="64" t="s">
        <v>103</v>
      </c>
      <c r="C3" s="65">
        <v>2.1862539999999999</v>
      </c>
      <c r="D3" s="66">
        <f>C3*1000000*1.6E-19</f>
        <v>3.4980063999999997E-13</v>
      </c>
      <c r="E3" s="66">
        <v>1.4E-8</v>
      </c>
      <c r="F3" s="66">
        <f>_xlfn.IFNA(INDEX('hp (pSv cm2)'!$B$2:$B$52,MATCH($C3,'hp (pSv cm2)'!$A$2:$A$52,1))+($C3-INDEX('hp (pSv cm2)'!$A$2:$A$52,MATCH($C3,'hp (pSv cm2)'!$A$2:$A$52,1)))*(INDEX('hp (pSv cm2)'!$B$2:$B$52,MATCH($C3,'hp (pSv cm2)'!$A$2:$A$52,1)+1)-INDEX('hp (pSv cm2)'!$B$2:$B$52,MATCH($C3,'hp (pSv cm2)'!$A$2:$A$52,1)))/(INDEX('hp (pSv cm2)'!$A$2:$A$52,MATCH($C3,'hp (pSv cm2)'!$A$2:$A$52,1)+1)-INDEX('hp (pSv cm2)'!$A$2:$A$52,MATCH($C3,'hp (pSv cm2)'!$A$2:$A$52,1))),$C3*'hp (pSv cm2)'!$B$2/'hp (pSv cm2)'!$A$2)</f>
        <v>7.9027965800000004</v>
      </c>
      <c r="G3" s="67">
        <f>F3*E3</f>
        <v>1.1063915212E-7</v>
      </c>
      <c r="H3" s="83">
        <f>_xlfn.IFNA(0.997*(INDEX('Mass attenuation coefficients'!$B$2:$B$37,MATCH($C3,'Mass attenuation coefficients'!$A$2:$A$37,1))+($C3-INDEX('Mass attenuation coefficients'!$A$2:$A$37,MATCH($C3,'Mass attenuation coefficients'!$A$2:$A$37,1)))*(INDEX('Mass attenuation coefficients'!$B$2:$B$37,MATCH($C3,'Mass attenuation coefficients'!$A$2:$A$37,1)+1)-INDEX('Mass attenuation coefficients'!$B$2:$B$37,MATCH($C3,'Mass attenuation coefficients'!$A$2:$A$37,1)))/(INDEX('Mass attenuation coefficients'!$A$2:$A$37,MATCH($C3,'Mass attenuation coefficients'!$A$2:$A$37,1)+1)-INDEX('Mass attenuation coefficients'!$A$2:$A$37,MATCH($C3,'Mass attenuation coefficients'!$A$2:$A$37,1)))),0.997*$C3*'Mass attenuation coefficients'!$B$2/'Mass attenuation coefficients'!$A$2)</f>
        <v>4.746492533426E-2</v>
      </c>
      <c r="I3" s="83">
        <f>_xlfn.IFNA(INDEX('Shultis Faw'!$C$2:$C$26,MATCH($C3,'Shultis Faw'!$A$2:$A$26,1))+($C3-INDEX('Shultis Faw'!$A$2:$A$26,MATCH($C3,'Shultis Faw'!$A$2:$A$26,1)))*(INDEX('Shultis Faw'!$C$2:$C$26,MATCH($C3,'Shultis Faw'!$A$2:$A$26,1)+1)-INDEX('Shultis Faw'!$C$2:$C$26,MATCH($C3,'Shultis Faw'!$A$2:$A$26,1)))/(INDEX('Shultis Faw'!$A$2:$A$26,MATCH($C3,'Shultis Faw'!$A$2:$A$26,1)+1)-INDEX('Shultis Faw'!$A$2:$A$26,MATCH($C3,'Shultis Faw'!$A$2:$A$26,1))),$C3*'Shultis Faw'!$C$2/'Shultis Faw'!$A$2)</f>
        <v>1.814973234</v>
      </c>
      <c r="J3" s="83">
        <f>_xlfn.IFNA(INDEX('Shultis Faw'!$D$2:$D$26,MATCH($C3,'Shultis Faw'!$A$2:$A$26,1))+($C3-INDEX('Shultis Faw'!$A$2:$A$26,MATCH($C3,'Shultis Faw'!$A$2:$A$26,1)))*(INDEX('Shultis Faw'!$D$2:$D$26,MATCH($C3,'Shultis Faw'!$A$2:$A$26,1)+1)-INDEX('Shultis Faw'!$D$2:$D$26,MATCH($C3,'Shultis Faw'!$A$2:$A$26,1)))/(INDEX('Shultis Faw'!$A$2:$A$26,MATCH($C3,'Shultis Faw'!$A$2:$A$26,1)+1)-INDEX('Shultis Faw'!$A$2:$A$26,MATCH($C3,'Shultis Faw'!$A$2:$A$26,1))),$C3*'Shultis Faw'!$D$2/'Shultis Faw'!$A$2)</f>
        <v>1.151208282</v>
      </c>
      <c r="K3" s="83">
        <f>_xlfn.IFNA(INDEX('Shultis Faw'!$B$2:$B$26,MATCH($C3,'Shultis Faw'!$A$2:$A$26,1))+($C3-INDEX('Shultis Faw'!$A$2:$A$26,MATCH($C3,'Shultis Faw'!$A$2:$A$26,1)))*(INDEX('Shultis Faw'!$B$2:$B$26,MATCH($C3,'Shultis Faw'!$A$2:$A$26,1)+1)-INDEX('Shultis Faw'!$B$2:$B$26,MATCH($C3,'Shultis Faw'!$A$2:$A$26,1)))/(INDEX('Shultis Faw'!$A$2:$A$26,MATCH($C3,'Shultis Faw'!$A$2:$A$26,1)+1)-INDEX('Shultis Faw'!$A$2:$A$26,MATCH($C3,'Shultis Faw'!$A$2:$A$26,1))),$C3*'Shultis Faw'!$B$2/'Shultis Faw'!$A$2)</f>
        <v>-3.4157396E-2</v>
      </c>
      <c r="L3" s="83">
        <f>_xlfn.IFNA(INDEX('Shultis Faw'!$E$2:$E$26,MATCH($C3,'Shultis Faw'!$A$2:$A$26,1))+($C3-INDEX('Shultis Faw'!$A$2:$A$26,MATCH($C3,'Shultis Faw'!$A$2:$A$26,1)))*(INDEX('Shultis Faw'!$E$2:$E$26,MATCH($C3,'Shultis Faw'!$A$2:$A$26,1)+1)-INDEX('Shultis Faw'!$E$2:$E$26,MATCH($C3,'Shultis Faw'!$A$2:$A$26,1)))/(INDEX('Shultis Faw'!$A$2:$A$26,MATCH($C3,'Shultis Faw'!$A$2:$A$26,1)+1)-INDEX('Shultis Faw'!$A$2:$A$26,MATCH($C3,'Shultis Faw'!$A$2:$A$26,1))),$C3*'Shultis Faw'!$E$2/'Shultis Faw'!$A$2)</f>
        <v>1.3976704400000001E-2</v>
      </c>
      <c r="M3" s="83">
        <f>_xlfn.IFNA(INDEX('Shultis Faw'!$F$2:$F$26,MATCH($C3,'Shultis Faw'!$A$2:$A$26,1))+($C3-INDEX('Shultis Faw'!$A$2:$A$26,MATCH($C3,'Shultis Faw'!$A$2:$A$26,1)))*(INDEX('Shultis Faw'!$F$2:$F$26,MATCH($C3,'Shultis Faw'!$A$2:$A$26,1)+1)-INDEX('Shultis Faw'!$F$2:$F$26,MATCH($C3,'Shultis Faw'!$A$2:$A$26,1)))/(INDEX('Shultis Faw'!$A$2:$A$26,MATCH($C3,'Shultis Faw'!$A$2:$A$26,1)+1)-INDEX('Shultis Faw'!$A$2:$A$26,MATCH($C3,'Shultis Faw'!$A$2:$A$26,1))),$C3*'Shultis Faw'!$F$2/'Shultis Faw'!$A$2)</f>
        <v>13.650928500000001</v>
      </c>
      <c r="N3" s="83">
        <f>J3*(H3*'Externe blootstelling'!$D$23/2)^K3+L3*(TANH(((H3*'Externe blootstelling'!$D$23)/(2*M3))-2)-TANH(-2))/(1-TANH(-2))</f>
        <v>1.1646720007320202</v>
      </c>
      <c r="O3" s="83">
        <f>IF(N3=1,1+(I3-1)*H3*'Externe blootstelling'!$D$23/2,1+(I3-1)*(N3^(H3*'Externe blootstelling'!$D$23/2)-1)/(N3-1))</f>
        <v>1.5673694301917021</v>
      </c>
      <c r="P3" s="67">
        <f>G3*EXP(-H3*'Externe blootstelling'!$D$23/2)*O3</f>
        <v>8.508909090083252E-8</v>
      </c>
      <c r="Q3" s="68"/>
    </row>
    <row r="4" spans="1:122" x14ac:dyDescent="0.2">
      <c r="A4" s="218"/>
      <c r="B4" s="64"/>
      <c r="C4" s="66"/>
      <c r="D4" s="66"/>
      <c r="E4" s="66"/>
      <c r="F4" s="66"/>
      <c r="G4" s="67"/>
      <c r="H4" s="83"/>
      <c r="I4" s="83"/>
      <c r="J4" s="83"/>
      <c r="K4" s="83"/>
      <c r="L4" s="83"/>
      <c r="M4" s="83"/>
      <c r="N4" s="83"/>
      <c r="O4" s="83"/>
      <c r="P4" s="67"/>
      <c r="Q4" s="67">
        <f>SUM(P2:P3)/SUM(G2:G3)</f>
        <v>0.81243225705131428</v>
      </c>
    </row>
    <row r="5" spans="1:122" s="62" customFormat="1" x14ac:dyDescent="0.2">
      <c r="A5" s="69"/>
      <c r="B5" s="70"/>
      <c r="C5" s="71"/>
      <c r="D5" s="71"/>
      <c r="E5" s="71"/>
      <c r="F5" s="71"/>
      <c r="G5" s="72"/>
      <c r="H5" s="84"/>
      <c r="I5" s="84"/>
      <c r="J5" s="84"/>
      <c r="K5" s="84"/>
      <c r="L5" s="84"/>
      <c r="M5" s="84"/>
      <c r="N5" s="84"/>
      <c r="O5" s="84"/>
      <c r="P5" s="72"/>
      <c r="Q5" s="72"/>
    </row>
    <row r="6" spans="1:122" x14ac:dyDescent="0.2">
      <c r="A6" s="216" t="s">
        <v>142</v>
      </c>
      <c r="B6" s="64" t="s">
        <v>102</v>
      </c>
      <c r="C6" s="66">
        <v>5.3E-3</v>
      </c>
      <c r="D6" s="66">
        <f t="shared" ref="D6:D29" si="0">C6*1000000*1.6E-19</f>
        <v>8.4799999999999997E-16</v>
      </c>
      <c r="E6" s="66">
        <v>6.3099999999999996E-3</v>
      </c>
      <c r="F6" s="66">
        <f>_xlfn.IFNA(INDEX('hp (pSv cm2)'!$B$2:$B$52,MATCH($C6,'hp (pSv cm2)'!$A$2:$A$52,1))+($C6-INDEX('hp (pSv cm2)'!$A$2:$A$52,MATCH($C6,'hp (pSv cm2)'!$A$2:$A$52,1)))*(INDEX('hp (pSv cm2)'!$B$2:$B$52,MATCH($C6,'hp (pSv cm2)'!$A$2:$A$52,1)+1)-INDEX('hp (pSv cm2)'!$B$2:$B$52,MATCH($C6,'hp (pSv cm2)'!$A$2:$A$52,1)))/(INDEX('hp (pSv cm2)'!$A$2:$A$52,MATCH($C6,'hp (pSv cm2)'!$A$2:$A$52,1)+1)-INDEX('hp (pSv cm2)'!$A$2:$A$52,MATCH($C6,'hp (pSv cm2)'!$A$2:$A$52,1))),$C6*'hp (pSv cm2)'!$B$2/'hp (pSv cm2)'!$A$2)</f>
        <v>1.436E-2</v>
      </c>
      <c r="G6" s="67">
        <f t="shared" ref="G6:G29" si="1">F6*E6</f>
        <v>9.0611599999999991E-5</v>
      </c>
      <c r="H6" s="83">
        <f>_xlfn.IFNA(0.997*(INDEX('Mass attenuation coefficients'!$B$2:$B$37,MATCH($C6,'Mass attenuation coefficients'!$A$2:$A$37,1))+($C6-INDEX('Mass attenuation coefficients'!$A$2:$A$37,MATCH($C6,'Mass attenuation coefficients'!$A$2:$A$37,1)))*(INDEX('Mass attenuation coefficients'!$B$2:$B$37,MATCH($C6,'Mass attenuation coefficients'!$A$2:$A$37,1)+1)-INDEX('Mass attenuation coefficients'!$B$2:$B$37,MATCH($C6,'Mass attenuation coefficients'!$A$2:$A$37,1)))/(INDEX('Mass attenuation coefficients'!$A$2:$A$37,MATCH($C6,'Mass attenuation coefficients'!$A$2:$A$37,1)+1)-INDEX('Mass attenuation coefficients'!$A$2:$A$37,MATCH($C6,'Mass attenuation coefficients'!$A$2:$A$37,1)))),0.997*$C6*'Mass attenuation coefficients'!$B$2/'Mass attenuation coefficients'!$A$2)</f>
        <v>37.086406000000004</v>
      </c>
      <c r="I6" s="83">
        <f>_xlfn.IFNA(INDEX('Shultis Faw'!$C$2:$C$26,MATCH($C6,'Shultis Faw'!$A$2:$A$26,1))+($C6-INDEX('Shultis Faw'!$A$2:$A$26,MATCH($C6,'Shultis Faw'!$A$2:$A$26,1)))*(INDEX('Shultis Faw'!$C$2:$C$26,MATCH($C6,'Shultis Faw'!$A$2:$A$26,1)+1)-INDEX('Shultis Faw'!$C$2:$C$26,MATCH($C6,'Shultis Faw'!$A$2:$A$26,1)))/(INDEX('Shultis Faw'!$A$2:$A$26,MATCH($C6,'Shultis Faw'!$A$2:$A$26,1)+1)-INDEX('Shultis Faw'!$A$2:$A$26,MATCH($C6,'Shultis Faw'!$A$2:$A$26,1))),$C6*'Shultis Faw'!$C$2/'Shultis Faw'!$A$2)</f>
        <v>0.41763999999999996</v>
      </c>
      <c r="J6" s="83">
        <f>_xlfn.IFNA(INDEX('Shultis Faw'!$D$2:$D$26,MATCH($C6,'Shultis Faw'!$A$2:$A$26,1))+($C6-INDEX('Shultis Faw'!$A$2:$A$26,MATCH($C6,'Shultis Faw'!$A$2:$A$26,1)))*(INDEX('Shultis Faw'!$D$2:$D$26,MATCH($C6,'Shultis Faw'!$A$2:$A$26,1)+1)-INDEX('Shultis Faw'!$D$2:$D$26,MATCH($C6,'Shultis Faw'!$A$2:$A$26,1)))/(INDEX('Shultis Faw'!$A$2:$A$26,MATCH($C6,'Shultis Faw'!$A$2:$A$26,1)+1)-INDEX('Shultis Faw'!$A$2:$A$26,MATCH($C6,'Shultis Faw'!$A$2:$A$26,1))),$C6*'Shultis Faw'!$D$2/'Shultis Faw'!$A$2)</f>
        <v>0.16359333333333334</v>
      </c>
      <c r="K6" s="83">
        <f>_xlfn.IFNA(INDEX('Shultis Faw'!$B$2:$B$26,MATCH($C6,'Shultis Faw'!$A$2:$A$26,1))+($C6-INDEX('Shultis Faw'!$A$2:$A$26,MATCH($C6,'Shultis Faw'!$A$2:$A$26,1)))*(INDEX('Shultis Faw'!$B$2:$B$26,MATCH($C6,'Shultis Faw'!$A$2:$A$26,1)+1)-INDEX('Shultis Faw'!$B$2:$B$26,MATCH($C6,'Shultis Faw'!$A$2:$A$26,1)))/(INDEX('Shultis Faw'!$A$2:$A$26,MATCH($C6,'Shultis Faw'!$A$2:$A$26,1)+1)-INDEX('Shultis Faw'!$A$2:$A$26,MATCH($C6,'Shultis Faw'!$A$2:$A$26,1))),$C6*'Shultis Faw'!$B$2/'Shultis Faw'!$A$2)</f>
        <v>6.0773333333333332E-2</v>
      </c>
      <c r="L6" s="83">
        <f>_xlfn.IFNA(INDEX('Shultis Faw'!$E$2:$E$26,MATCH($C6,'Shultis Faw'!$A$2:$A$26,1))+($C6-INDEX('Shultis Faw'!$A$2:$A$26,MATCH($C6,'Shultis Faw'!$A$2:$A$26,1)))*(INDEX('Shultis Faw'!$E$2:$E$26,MATCH($C6,'Shultis Faw'!$A$2:$A$26,1)+1)-INDEX('Shultis Faw'!$E$2:$E$26,MATCH($C6,'Shultis Faw'!$A$2:$A$26,1)))/(INDEX('Shultis Faw'!$A$2:$A$26,MATCH($C6,'Shultis Faw'!$A$2:$A$26,1)+1)-INDEX('Shultis Faw'!$A$2:$A$26,MATCH($C6,'Shultis Faw'!$A$2:$A$26,1))),$C6*'Shultis Faw'!$E$2/'Shultis Faw'!$A$2)</f>
        <v>-3.2082666666666669E-2</v>
      </c>
      <c r="M6" s="83">
        <f>_xlfn.IFNA(INDEX('Shultis Faw'!$F$2:$F$26,MATCH($C6,'Shultis Faw'!$A$2:$A$26,1))+($C6-INDEX('Shultis Faw'!$A$2:$A$26,MATCH($C6,'Shultis Faw'!$A$2:$A$26,1)))*(INDEX('Shultis Faw'!$F$2:$F$26,MATCH($C6,'Shultis Faw'!$A$2:$A$26,1)+1)-INDEX('Shultis Faw'!$F$2:$F$26,MATCH($C6,'Shultis Faw'!$A$2:$A$26,1)))/(INDEX('Shultis Faw'!$A$2:$A$26,MATCH($C6,'Shultis Faw'!$A$2:$A$26,1)+1)-INDEX('Shultis Faw'!$A$2:$A$26,MATCH($C6,'Shultis Faw'!$A$2:$A$26,1))),$C6*'Shultis Faw'!$F$2/'Shultis Faw'!$A$2)</f>
        <v>5.0279333333333334</v>
      </c>
      <c r="N6" s="83">
        <f>J6*(H6*'Externe blootstelling'!$D$23/2)^K6+L6*(TANH(((H6*'Externe blootstelling'!$D$23)/(2*M6))-2)-TANH(-2))/(1-TANH(-2))</f>
        <v>0.20813613638171199</v>
      </c>
      <c r="O6" s="83">
        <f>IF(N6=1,1+(I6-1)*H6*'Externe blootstelling'!$D$23/2,1+(I6-1)*(N6^(H6*'Externe blootstelling'!$D$23/2)-1)/(N6-1))</f>
        <v>0.26457055719274214</v>
      </c>
      <c r="P6" s="67">
        <f>G6*EXP(-H6*'Externe blootstelling'!$D$23/2)*O6</f>
        <v>6.0729977435045261E-247</v>
      </c>
      <c r="Q6" s="68"/>
    </row>
    <row r="7" spans="1:122" x14ac:dyDescent="0.2">
      <c r="A7" s="217"/>
      <c r="B7" s="64" t="s">
        <v>102</v>
      </c>
      <c r="C7" s="66">
        <v>2.9458999999999999E-2</v>
      </c>
      <c r="D7" s="66">
        <f t="shared" si="0"/>
        <v>4.7134399999999995E-15</v>
      </c>
      <c r="E7" s="66">
        <v>1.52E-2</v>
      </c>
      <c r="F7" s="66">
        <f>_xlfn.IFNA(INDEX('hp (pSv cm2)'!$B$2:$B$52,MATCH($C7,'hp (pSv cm2)'!$A$2:$A$52,1))+($C7-INDEX('hp (pSv cm2)'!$A$2:$A$52,MATCH($C7,'hp (pSv cm2)'!$A$2:$A$52,1)))*(INDEX('hp (pSv cm2)'!$B$2:$B$52,MATCH($C7,'hp (pSv cm2)'!$A$2:$A$52,1)+1)-INDEX('hp (pSv cm2)'!$B$2:$B$52,MATCH($C7,'hp (pSv cm2)'!$A$2:$A$52,1)))/(INDEX('hp (pSv cm2)'!$A$2:$A$52,MATCH($C7,'hp (pSv cm2)'!$A$2:$A$52,1)+1)-INDEX('hp (pSv cm2)'!$A$2:$A$52,MATCH($C7,'hp (pSv cm2)'!$A$2:$A$52,1))),$C7*'hp (pSv cm2)'!$B$2/'hp (pSv cm2)'!$A$2)</f>
        <v>0.30799660000000001</v>
      </c>
      <c r="G7" s="67">
        <f t="shared" si="1"/>
        <v>4.6815483200000002E-3</v>
      </c>
      <c r="H7" s="83">
        <f>_xlfn.IFNA(0.997*(INDEX('Mass attenuation coefficients'!$B$2:$B$37,MATCH($C7,'Mass attenuation coefficients'!$A$2:$A$37,1))+($C7-INDEX('Mass attenuation coefficients'!$A$2:$A$37,MATCH($C7,'Mass attenuation coefficients'!$A$2:$A$37,1)))*(INDEX('Mass attenuation coefficients'!$B$2:$B$37,MATCH($C7,'Mass attenuation coefficients'!$A$2:$A$37,1)+1)-INDEX('Mass attenuation coefficients'!$B$2:$B$37,MATCH($C7,'Mass attenuation coefficients'!$A$2:$A$37,1)))/(INDEX('Mass attenuation coefficients'!$A$2:$A$37,MATCH($C7,'Mass attenuation coefficients'!$A$2:$A$37,1)+1)-INDEX('Mass attenuation coefficients'!$A$2:$A$37,MATCH($C7,'Mass attenuation coefficients'!$A$2:$A$37,1)))),0.997*$C7*'Mass attenuation coefficients'!$B$2/'Mass attenuation coefficients'!$A$2)</f>
        <v>0.39788216179999997</v>
      </c>
      <c r="I7" s="83">
        <f>_xlfn.IFNA(INDEX('Shultis Faw'!$C$2:$C$26,MATCH($C7,'Shultis Faw'!$A$2:$A$26,1))+($C7-INDEX('Shultis Faw'!$A$2:$A$26,MATCH($C7,'Shultis Faw'!$A$2:$A$26,1)))*(INDEX('Shultis Faw'!$C$2:$C$26,MATCH($C7,'Shultis Faw'!$A$2:$A$26,1)+1)-INDEX('Shultis Faw'!$C$2:$C$26,MATCH($C7,'Shultis Faw'!$A$2:$A$26,1)))/(INDEX('Shultis Faw'!$A$2:$A$26,MATCH($C7,'Shultis Faw'!$A$2:$A$26,1)+1)-INDEX('Shultis Faw'!$A$2:$A$26,MATCH($C7,'Shultis Faw'!$A$2:$A$26,1))),$C7*'Shultis Faw'!$C$2/'Shultis Faw'!$A$2)</f>
        <v>2.2858771999999998</v>
      </c>
      <c r="J7" s="83">
        <f>_xlfn.IFNA(INDEX('Shultis Faw'!$D$2:$D$26,MATCH($C7,'Shultis Faw'!$A$2:$A$26,1))+($C7-INDEX('Shultis Faw'!$A$2:$A$26,MATCH($C7,'Shultis Faw'!$A$2:$A$26,1)))*(INDEX('Shultis Faw'!$D$2:$D$26,MATCH($C7,'Shultis Faw'!$A$2:$A$26,1)+1)-INDEX('Shultis Faw'!$D$2:$D$26,MATCH($C7,'Shultis Faw'!$A$2:$A$26,1)))/(INDEX('Shultis Faw'!$A$2:$A$26,MATCH($C7,'Shultis Faw'!$A$2:$A$26,1)+1)-INDEX('Shultis Faw'!$A$2:$A$26,MATCH($C7,'Shultis Faw'!$A$2:$A$26,1))),$C7*'Shultis Faw'!$D$2/'Shultis Faw'!$A$2)</f>
        <v>0.72588330000000001</v>
      </c>
      <c r="K7" s="83">
        <f>_xlfn.IFNA(INDEX('Shultis Faw'!$B$2:$B$26,MATCH($C7,'Shultis Faw'!$A$2:$A$26,1))+($C7-INDEX('Shultis Faw'!$A$2:$A$26,MATCH($C7,'Shultis Faw'!$A$2:$A$26,1)))*(INDEX('Shultis Faw'!$B$2:$B$26,MATCH($C7,'Shultis Faw'!$A$2:$A$26,1)+1)-INDEX('Shultis Faw'!$B$2:$B$26,MATCH($C7,'Shultis Faw'!$A$2:$A$26,1)))/(INDEX('Shultis Faw'!$A$2:$A$26,MATCH($C7,'Shultis Faw'!$A$2:$A$26,1)+1)-INDEX('Shultis Faw'!$A$2:$A$26,MATCH($C7,'Shultis Faw'!$A$2:$A$26,1))),$C7*'Shultis Faw'!$B$2/'Shultis Faw'!$A$2)</f>
        <v>9.0029599999999987E-2</v>
      </c>
      <c r="L7" s="83">
        <f>_xlfn.IFNA(INDEX('Shultis Faw'!$E$2:$E$26,MATCH($C7,'Shultis Faw'!$A$2:$A$26,1))+($C7-INDEX('Shultis Faw'!$A$2:$A$26,MATCH($C7,'Shultis Faw'!$A$2:$A$26,1)))*(INDEX('Shultis Faw'!$E$2:$E$26,MATCH($C7,'Shultis Faw'!$A$2:$A$26,1)+1)-INDEX('Shultis Faw'!$E$2:$E$26,MATCH($C7,'Shultis Faw'!$A$2:$A$26,1)))/(INDEX('Shultis Faw'!$A$2:$A$26,MATCH($C7,'Shultis Faw'!$A$2:$A$26,1)+1)-INDEX('Shultis Faw'!$A$2:$A$26,MATCH($C7,'Shultis Faw'!$A$2:$A$26,1))),$C7*'Shultis Faw'!$E$2/'Shultis Faw'!$A$2)</f>
        <v>-4.3458079999999996E-2</v>
      </c>
      <c r="M7" s="83">
        <f>_xlfn.IFNA(INDEX('Shultis Faw'!$F$2:$F$26,MATCH($C7,'Shultis Faw'!$A$2:$A$26,1))+($C7-INDEX('Shultis Faw'!$A$2:$A$26,MATCH($C7,'Shultis Faw'!$A$2:$A$26,1)))*(INDEX('Shultis Faw'!$F$2:$F$26,MATCH($C7,'Shultis Faw'!$A$2:$A$26,1)+1)-INDEX('Shultis Faw'!$F$2:$F$26,MATCH($C7,'Shultis Faw'!$A$2:$A$26,1)))/(INDEX('Shultis Faw'!$A$2:$A$26,MATCH($C7,'Shultis Faw'!$A$2:$A$26,1)+1)-INDEX('Shultis Faw'!$A$2:$A$26,MATCH($C7,'Shultis Faw'!$A$2:$A$26,1))),$C7*'Shultis Faw'!$F$2/'Shultis Faw'!$A$2)</f>
        <v>13.365478</v>
      </c>
      <c r="N7" s="83">
        <f>J7*(H7*'Externe blootstelling'!$D$23/2)^K7+L7*(TANH(((H7*'Externe blootstelling'!$D$23)/(2*M7))-2)-TANH(-2))/(1-TANH(-2))</f>
        <v>0.85144308142559999</v>
      </c>
      <c r="O7" s="83">
        <f>IF(N7=1,1+(I7-1)*H7*'Externe blootstelling'!$D$23/2,1+(I7-1)*(N7^(H7*'Externe blootstelling'!$D$23/2)-1)/(N7-1))</f>
        <v>6.3409743465273394</v>
      </c>
      <c r="P7" s="67">
        <f>G7*EXP(-H7*'Externe blootstelling'!$D$23/2)*O7</f>
        <v>7.5958275569464552E-5</v>
      </c>
      <c r="Q7" s="68"/>
    </row>
    <row r="8" spans="1:122" x14ac:dyDescent="0.2">
      <c r="A8" s="217"/>
      <c r="B8" s="64" t="s">
        <v>102</v>
      </c>
      <c r="C8" s="66">
        <v>2.9779E-2</v>
      </c>
      <c r="D8" s="66">
        <f t="shared" si="0"/>
        <v>4.7646400000000001E-15</v>
      </c>
      <c r="E8" s="66">
        <v>2.81E-2</v>
      </c>
      <c r="F8" s="66">
        <f>_xlfn.IFNA(INDEX('hp (pSv cm2)'!$B$2:$B$52,MATCH($C8,'hp (pSv cm2)'!$A$2:$A$52,1))+($C8-INDEX('hp (pSv cm2)'!$A$2:$A$52,MATCH($C8,'hp (pSv cm2)'!$A$2:$A$52,1)))*(INDEX('hp (pSv cm2)'!$B$2:$B$52,MATCH($C8,'hp (pSv cm2)'!$A$2:$A$52,1)+1)-INDEX('hp (pSv cm2)'!$B$2:$B$52,MATCH($C8,'hp (pSv cm2)'!$A$2:$A$52,1)))/(INDEX('hp (pSv cm2)'!$A$2:$A$52,MATCH($C8,'hp (pSv cm2)'!$A$2:$A$52,1)+1)-INDEX('hp (pSv cm2)'!$A$2:$A$52,MATCH($C8,'hp (pSv cm2)'!$A$2:$A$52,1))),$C8*'hp (pSv cm2)'!$B$2/'hp (pSv cm2)'!$A$2)</f>
        <v>0.31036459999999999</v>
      </c>
      <c r="G8" s="67">
        <f t="shared" si="1"/>
        <v>8.7212452599999997E-3</v>
      </c>
      <c r="H8" s="83">
        <f>_xlfn.IFNA(0.997*(INDEX('Mass attenuation coefficients'!$B$2:$B$37,MATCH($C8,'Mass attenuation coefficients'!$A$2:$A$37,1))+($C8-INDEX('Mass attenuation coefficients'!$A$2:$A$37,MATCH($C8,'Mass attenuation coefficients'!$A$2:$A$37,1)))*(INDEX('Mass attenuation coefficients'!$B$2:$B$37,MATCH($C8,'Mass attenuation coefficients'!$A$2:$A$37,1)+1)-INDEX('Mass attenuation coefficients'!$B$2:$B$37,MATCH($C8,'Mass attenuation coefficients'!$A$2:$A$37,1)))/(INDEX('Mass attenuation coefficients'!$A$2:$A$37,MATCH($C8,'Mass attenuation coefficients'!$A$2:$A$37,1)+1)-INDEX('Mass attenuation coefficients'!$A$2:$A$37,MATCH($C8,'Mass attenuation coefficients'!$A$2:$A$37,1)))),0.997*$C8*'Mass attenuation coefficients'!$B$2/'Mass attenuation coefficients'!$A$2)</f>
        <v>0.38403582579999995</v>
      </c>
      <c r="I8" s="83">
        <f>_xlfn.IFNA(INDEX('Shultis Faw'!$C$2:$C$26,MATCH($C8,'Shultis Faw'!$A$2:$A$26,1))+($C8-INDEX('Shultis Faw'!$A$2:$A$26,MATCH($C8,'Shultis Faw'!$A$2:$A$26,1)))*(INDEX('Shultis Faw'!$C$2:$C$26,MATCH($C8,'Shultis Faw'!$A$2:$A$26,1)+1)-INDEX('Shultis Faw'!$C$2:$C$26,MATCH($C8,'Shultis Faw'!$A$2:$A$26,1)))/(INDEX('Shultis Faw'!$A$2:$A$26,MATCH($C8,'Shultis Faw'!$A$2:$A$26,1)+1)-INDEX('Shultis Faw'!$A$2:$A$26,MATCH($C8,'Shultis Faw'!$A$2:$A$26,1))),$C8*'Shultis Faw'!$C$2/'Shultis Faw'!$A$2)</f>
        <v>2.3149332</v>
      </c>
      <c r="J8" s="83">
        <f>_xlfn.IFNA(INDEX('Shultis Faw'!$D$2:$D$26,MATCH($C8,'Shultis Faw'!$A$2:$A$26,1))+($C8-INDEX('Shultis Faw'!$A$2:$A$26,MATCH($C8,'Shultis Faw'!$A$2:$A$26,1)))*(INDEX('Shultis Faw'!$D$2:$D$26,MATCH($C8,'Shultis Faw'!$A$2:$A$26,1)+1)-INDEX('Shultis Faw'!$D$2:$D$26,MATCH($C8,'Shultis Faw'!$A$2:$A$26,1)))/(INDEX('Shultis Faw'!$A$2:$A$26,MATCH($C8,'Shultis Faw'!$A$2:$A$26,1)+1)-INDEX('Shultis Faw'!$A$2:$A$26,MATCH($C8,'Shultis Faw'!$A$2:$A$26,1))),$C8*'Shultis Faw'!$D$2/'Shultis Faw'!$A$2)</f>
        <v>0.7318673</v>
      </c>
      <c r="K8" s="83">
        <f>_xlfn.IFNA(INDEX('Shultis Faw'!$B$2:$B$26,MATCH($C8,'Shultis Faw'!$A$2:$A$26,1))+($C8-INDEX('Shultis Faw'!$A$2:$A$26,MATCH($C8,'Shultis Faw'!$A$2:$A$26,1)))*(INDEX('Shultis Faw'!$B$2:$B$26,MATCH($C8,'Shultis Faw'!$A$2:$A$26,1)+1)-INDEX('Shultis Faw'!$B$2:$B$26,MATCH($C8,'Shultis Faw'!$A$2:$A$26,1)))/(INDEX('Shultis Faw'!$A$2:$A$26,MATCH($C8,'Shultis Faw'!$A$2:$A$26,1)+1)-INDEX('Shultis Faw'!$A$2:$A$26,MATCH($C8,'Shultis Faw'!$A$2:$A$26,1))),$C8*'Shultis Faw'!$B$2/'Shultis Faw'!$A$2)</f>
        <v>8.8237599999999985E-2</v>
      </c>
      <c r="L8" s="83">
        <f>_xlfn.IFNA(INDEX('Shultis Faw'!$E$2:$E$26,MATCH($C8,'Shultis Faw'!$A$2:$A$26,1))+($C8-INDEX('Shultis Faw'!$A$2:$A$26,MATCH($C8,'Shultis Faw'!$A$2:$A$26,1)))*(INDEX('Shultis Faw'!$E$2:$E$26,MATCH($C8,'Shultis Faw'!$A$2:$A$26,1)+1)-INDEX('Shultis Faw'!$E$2:$E$26,MATCH($C8,'Shultis Faw'!$A$2:$A$26,1)))/(INDEX('Shultis Faw'!$A$2:$A$26,MATCH($C8,'Shultis Faw'!$A$2:$A$26,1)+1)-INDEX('Shultis Faw'!$A$2:$A$26,MATCH($C8,'Shultis Faw'!$A$2:$A$26,1))),$C8*'Shultis Faw'!$E$2/'Shultis Faw'!$A$2)</f>
        <v>-4.2536480000000002E-2</v>
      </c>
      <c r="M8" s="83">
        <f>_xlfn.IFNA(INDEX('Shultis Faw'!$F$2:$F$26,MATCH($C8,'Shultis Faw'!$A$2:$A$26,1))+($C8-INDEX('Shultis Faw'!$A$2:$A$26,MATCH($C8,'Shultis Faw'!$A$2:$A$26,1)))*(INDEX('Shultis Faw'!$F$2:$F$26,MATCH($C8,'Shultis Faw'!$A$2:$A$26,1)+1)-INDEX('Shultis Faw'!$F$2:$F$26,MATCH($C8,'Shultis Faw'!$A$2:$A$26,1)))/(INDEX('Shultis Faw'!$A$2:$A$26,MATCH($C8,'Shultis Faw'!$A$2:$A$26,1)+1)-INDEX('Shultis Faw'!$A$2:$A$26,MATCH($C8,'Shultis Faw'!$A$2:$A$26,1))),$C8*'Shultis Faw'!$F$2/'Shultis Faw'!$A$2)</f>
        <v>13.314917999999999</v>
      </c>
      <c r="N8" s="83">
        <f>J8*(H8*'Externe blootstelling'!$D$23/2)^K8+L8*(TANH(((H8*'Externe blootstelling'!$D$23)/(2*M8))-2)-TANH(-2))/(1-TANH(-2))</f>
        <v>0.85312220389392157</v>
      </c>
      <c r="O8" s="83">
        <f>IF(N8=1,1+(I8-1)*H8*'Externe blootstelling'!$D$23/2,1+(I8-1)*(N8^(H8*'Externe blootstelling'!$D$23/2)-1)/(N8-1))</f>
        <v>6.3671858247713455</v>
      </c>
      <c r="P8" s="67">
        <f>G8*EXP(-H8*'Externe blootstelling'!$D$23/2)*O8</f>
        <v>1.7488655576948311E-4</v>
      </c>
      <c r="Q8" s="68"/>
    </row>
    <row r="9" spans="1:122" x14ac:dyDescent="0.2">
      <c r="A9" s="217"/>
      <c r="B9" s="64" t="s">
        <v>102</v>
      </c>
      <c r="C9" s="66">
        <v>3.3625000000000002E-2</v>
      </c>
      <c r="D9" s="66">
        <f t="shared" si="0"/>
        <v>5.3799999999999999E-15</v>
      </c>
      <c r="E9" s="66">
        <v>8.1599999999999989E-3</v>
      </c>
      <c r="F9" s="66">
        <f>_xlfn.IFNA(INDEX('hp (pSv cm2)'!$B$2:$B$52,MATCH($C9,'hp (pSv cm2)'!$A$2:$A$52,1))+($C9-INDEX('hp (pSv cm2)'!$A$2:$A$52,MATCH($C9,'hp (pSv cm2)'!$A$2:$A$52,1)))*(INDEX('hp (pSv cm2)'!$B$2:$B$52,MATCH($C9,'hp (pSv cm2)'!$A$2:$A$52,1)+1)-INDEX('hp (pSv cm2)'!$B$2:$B$52,MATCH($C9,'hp (pSv cm2)'!$A$2:$A$52,1)))/(INDEX('hp (pSv cm2)'!$A$2:$A$52,MATCH($C9,'hp (pSv cm2)'!$A$2:$A$52,1)+1)-INDEX('hp (pSv cm2)'!$A$2:$A$52,MATCH($C9,'hp (pSv cm2)'!$A$2:$A$52,1))),$C9*'hp (pSv cm2)'!$B$2/'hp (pSv cm2)'!$A$2)</f>
        <v>0.32577499999999998</v>
      </c>
      <c r="G9" s="67">
        <f t="shared" si="1"/>
        <v>2.6583239999999997E-3</v>
      </c>
      <c r="H9" s="83">
        <f>_xlfn.IFNA(0.997*(INDEX('Mass attenuation coefficients'!$B$2:$B$37,MATCH($C9,'Mass attenuation coefficients'!$A$2:$A$37,1))+($C9-INDEX('Mass attenuation coefficients'!$A$2:$A$37,MATCH($C9,'Mass attenuation coefficients'!$A$2:$A$37,1)))*(INDEX('Mass attenuation coefficients'!$B$2:$B$37,MATCH($C9,'Mass attenuation coefficients'!$A$2:$A$37,1)+1)-INDEX('Mass attenuation coefficients'!$B$2:$B$37,MATCH($C9,'Mass attenuation coefficients'!$A$2:$A$37,1)))/(INDEX('Mass attenuation coefficients'!$A$2:$A$37,MATCH($C9,'Mass attenuation coefficients'!$A$2:$A$37,1)+1)-INDEX('Mass attenuation coefficients'!$A$2:$A$37,MATCH($C9,'Mass attenuation coefficients'!$A$2:$A$37,1)))),0.997*$C9*'Mass attenuation coefficients'!$B$2/'Mass attenuation coefficients'!$A$2)</f>
        <v>0.33569363874999997</v>
      </c>
      <c r="I9" s="83">
        <f>_xlfn.IFNA(INDEX('Shultis Faw'!$C$2:$C$26,MATCH($C9,'Shultis Faw'!$A$2:$A$26,1))+($C9-INDEX('Shultis Faw'!$A$2:$A$26,MATCH($C9,'Shultis Faw'!$A$2:$A$26,1)))*(INDEX('Shultis Faw'!$C$2:$C$26,MATCH($C9,'Shultis Faw'!$A$2:$A$26,1)+1)-INDEX('Shultis Faw'!$C$2:$C$26,MATCH($C9,'Shultis Faw'!$A$2:$A$26,1)))/(INDEX('Shultis Faw'!$A$2:$A$26,MATCH($C9,'Shultis Faw'!$A$2:$A$26,1)+1)-INDEX('Shultis Faw'!$A$2:$A$26,MATCH($C9,'Shultis Faw'!$A$2:$A$26,1))),$C9*'Shultis Faw'!$C$2/'Shultis Faw'!$A$2)</f>
        <v>2.7489750000000002</v>
      </c>
      <c r="J9" s="83">
        <f>_xlfn.IFNA(INDEX('Shultis Faw'!$D$2:$D$26,MATCH($C9,'Shultis Faw'!$A$2:$A$26,1))+($C9-INDEX('Shultis Faw'!$A$2:$A$26,MATCH($C9,'Shultis Faw'!$A$2:$A$26,1)))*(INDEX('Shultis Faw'!$D$2:$D$26,MATCH($C9,'Shultis Faw'!$A$2:$A$26,1)+1)-INDEX('Shultis Faw'!$D$2:$D$26,MATCH($C9,'Shultis Faw'!$A$2:$A$26,1)))/(INDEX('Shultis Faw'!$A$2:$A$26,MATCH($C9,'Shultis Faw'!$A$2:$A$26,1)+1)-INDEX('Shultis Faw'!$A$2:$A$26,MATCH($C9,'Shultis Faw'!$A$2:$A$26,1))),$C9*'Shultis Faw'!$D$2/'Shultis Faw'!$A$2)</f>
        <v>0.87411250000000007</v>
      </c>
      <c r="K9" s="83">
        <f>_xlfn.IFNA(INDEX('Shultis Faw'!$B$2:$B$26,MATCH($C9,'Shultis Faw'!$A$2:$A$26,1))+($C9-INDEX('Shultis Faw'!$A$2:$A$26,MATCH($C9,'Shultis Faw'!$A$2:$A$26,1)))*(INDEX('Shultis Faw'!$B$2:$B$26,MATCH($C9,'Shultis Faw'!$A$2:$A$26,1)+1)-INDEX('Shultis Faw'!$B$2:$B$26,MATCH($C9,'Shultis Faw'!$A$2:$A$26,1)))/(INDEX('Shultis Faw'!$A$2:$A$26,MATCH($C9,'Shultis Faw'!$A$2:$A$26,1)+1)-INDEX('Shultis Faw'!$A$2:$A$26,MATCH($C9,'Shultis Faw'!$A$2:$A$26,1))),$C9*'Shultis Faw'!$B$2/'Shultis Faw'!$A$2)</f>
        <v>4.8574999999999972E-2</v>
      </c>
      <c r="L9" s="83">
        <f>_xlfn.IFNA(INDEX('Shultis Faw'!$E$2:$E$26,MATCH($C9,'Shultis Faw'!$A$2:$A$26,1))+($C9-INDEX('Shultis Faw'!$A$2:$A$26,MATCH($C9,'Shultis Faw'!$A$2:$A$26,1)))*(INDEX('Shultis Faw'!$E$2:$E$26,MATCH($C9,'Shultis Faw'!$A$2:$A$26,1)+1)-INDEX('Shultis Faw'!$E$2:$E$26,MATCH($C9,'Shultis Faw'!$A$2:$A$26,1)))/(INDEX('Shultis Faw'!$A$2:$A$26,MATCH($C9,'Shultis Faw'!$A$2:$A$26,1)+1)-INDEX('Shultis Faw'!$A$2:$A$26,MATCH($C9,'Shultis Faw'!$A$2:$A$26,1))),$C9*'Shultis Faw'!$E$2/'Shultis Faw'!$A$2)</f>
        <v>-2.576874999999999E-2</v>
      </c>
      <c r="M9" s="83">
        <f>_xlfn.IFNA(INDEX('Shultis Faw'!$F$2:$F$26,MATCH($C9,'Shultis Faw'!$A$2:$A$26,1))+($C9-INDEX('Shultis Faw'!$A$2:$A$26,MATCH($C9,'Shultis Faw'!$A$2:$A$26,1)))*(INDEX('Shultis Faw'!$F$2:$F$26,MATCH($C9,'Shultis Faw'!$A$2:$A$26,1)+1)-INDEX('Shultis Faw'!$F$2:$F$26,MATCH($C9,'Shultis Faw'!$A$2:$A$26,1)))/(INDEX('Shultis Faw'!$A$2:$A$26,MATCH($C9,'Shultis Faw'!$A$2:$A$26,1)+1)-INDEX('Shultis Faw'!$A$2:$A$26,MATCH($C9,'Shultis Faw'!$A$2:$A$26,1))),$C9*'Shultis Faw'!$F$2/'Shultis Faw'!$A$2)</f>
        <v>12.696375</v>
      </c>
      <c r="N9" s="83">
        <f>J9*(H9*'Externe blootstelling'!$D$23/2)^K9+L9*(TANH(((H9*'Externe blootstelling'!$D$23)/(2*M9))-2)-TANH(-2))/(1-TANH(-2))</f>
        <v>0.9449664196223746</v>
      </c>
      <c r="O9" s="83">
        <f>IF(N9=1,1+(I9-1)*H9*'Externe blootstelling'!$D$23/2,1+(I9-1)*(N9^(H9*'Externe blootstelling'!$D$23/2)-1)/(N9-1))</f>
        <v>8.8818238328988883</v>
      </c>
      <c r="P9" s="67">
        <f>G9*EXP(-H9*'Externe blootstelling'!$D$23/2)*O9</f>
        <v>1.5355418005227051E-4</v>
      </c>
      <c r="Q9" s="68"/>
    </row>
    <row r="10" spans="1:122" x14ac:dyDescent="0.2">
      <c r="A10" s="217"/>
      <c r="B10" s="64" t="s">
        <v>102</v>
      </c>
      <c r="C10" s="66">
        <v>3.4495999999999999E-2</v>
      </c>
      <c r="D10" s="66">
        <f t="shared" si="0"/>
        <v>5.5193599999999998E-15</v>
      </c>
      <c r="E10" s="66">
        <v>1.9300000000000001E-3</v>
      </c>
      <c r="F10" s="66">
        <f>_xlfn.IFNA(INDEX('hp (pSv cm2)'!$B$2:$B$52,MATCH($C10,'hp (pSv cm2)'!$A$2:$A$52,1))+($C10-INDEX('hp (pSv cm2)'!$A$2:$A$52,MATCH($C10,'hp (pSv cm2)'!$A$2:$A$52,1)))*(INDEX('hp (pSv cm2)'!$B$2:$B$52,MATCH($C10,'hp (pSv cm2)'!$A$2:$A$52,1)+1)-INDEX('hp (pSv cm2)'!$B$2:$B$52,MATCH($C10,'hp (pSv cm2)'!$A$2:$A$52,1)))/(INDEX('hp (pSv cm2)'!$A$2:$A$52,MATCH($C10,'hp (pSv cm2)'!$A$2:$A$52,1)+1)-INDEX('hp (pSv cm2)'!$A$2:$A$52,MATCH($C10,'hp (pSv cm2)'!$A$2:$A$52,1))),$C10*'hp (pSv cm2)'!$B$2/'hp (pSv cm2)'!$A$2)</f>
        <v>0.32908480000000001</v>
      </c>
      <c r="G10" s="67">
        <f t="shared" si="1"/>
        <v>6.3513366400000002E-4</v>
      </c>
      <c r="H10" s="83">
        <f>_xlfn.IFNA(0.997*(INDEX('Mass attenuation coefficients'!$B$2:$B$37,MATCH($C10,'Mass attenuation coefficients'!$A$2:$A$37,1))+($C10-INDEX('Mass attenuation coefficients'!$A$2:$A$37,MATCH($C10,'Mass attenuation coefficients'!$A$2:$A$37,1)))*(INDEX('Mass attenuation coefficients'!$B$2:$B$37,MATCH($C10,'Mass attenuation coefficients'!$A$2:$A$37,1)+1)-INDEX('Mass attenuation coefficients'!$B$2:$B$37,MATCH($C10,'Mass attenuation coefficients'!$A$2:$A$37,1)))/(INDEX('Mass attenuation coefficients'!$A$2:$A$37,MATCH($C10,'Mass attenuation coefficients'!$A$2:$A$37,1)+1)-INDEX('Mass attenuation coefficients'!$A$2:$A$37,MATCH($C10,'Mass attenuation coefficients'!$A$2:$A$37,1)))),0.997*$C10*'Mass attenuation coefficients'!$B$2/'Mass attenuation coefficients'!$A$2)</f>
        <v>0.32637584623999999</v>
      </c>
      <c r="I10" s="83">
        <f>_xlfn.IFNA(INDEX('Shultis Faw'!$C$2:$C$26,MATCH($C10,'Shultis Faw'!$A$2:$A$26,1))+($C10-INDEX('Shultis Faw'!$A$2:$A$26,MATCH($C10,'Shultis Faw'!$A$2:$A$26,1)))*(INDEX('Shultis Faw'!$C$2:$C$26,MATCH($C10,'Shultis Faw'!$A$2:$A$26,1)+1)-INDEX('Shultis Faw'!$C$2:$C$26,MATCH($C10,'Shultis Faw'!$A$2:$A$26,1)))/(INDEX('Shultis Faw'!$A$2:$A$26,MATCH($C10,'Shultis Faw'!$A$2:$A$26,1)+1)-INDEX('Shultis Faw'!$A$2:$A$26,MATCH($C10,'Shultis Faw'!$A$2:$A$26,1))),$C10*'Shultis Faw'!$C$2/'Shultis Faw'!$A$2)</f>
        <v>2.8484431999999997</v>
      </c>
      <c r="J10" s="83">
        <f>_xlfn.IFNA(INDEX('Shultis Faw'!$D$2:$D$26,MATCH($C10,'Shultis Faw'!$A$2:$A$26,1))+($C10-INDEX('Shultis Faw'!$A$2:$A$26,MATCH($C10,'Shultis Faw'!$A$2:$A$26,1)))*(INDEX('Shultis Faw'!$D$2:$D$26,MATCH($C10,'Shultis Faw'!$A$2:$A$26,1)+1)-INDEX('Shultis Faw'!$D$2:$D$26,MATCH($C10,'Shultis Faw'!$A$2:$A$26,1)))/(INDEX('Shultis Faw'!$A$2:$A$26,MATCH($C10,'Shultis Faw'!$A$2:$A$26,1)+1)-INDEX('Shultis Faw'!$A$2:$A$26,MATCH($C10,'Shultis Faw'!$A$2:$A$26,1))),$C10*'Shultis Faw'!$D$2/'Shultis Faw'!$A$2)</f>
        <v>0.90729759999999993</v>
      </c>
      <c r="K10" s="83">
        <f>_xlfn.IFNA(INDEX('Shultis Faw'!$B$2:$B$26,MATCH($C10,'Shultis Faw'!$A$2:$A$26,1))+($C10-INDEX('Shultis Faw'!$A$2:$A$26,MATCH($C10,'Shultis Faw'!$A$2:$A$26,1)))*(INDEX('Shultis Faw'!$B$2:$B$26,MATCH($C10,'Shultis Faw'!$A$2:$A$26,1)+1)-INDEX('Shultis Faw'!$B$2:$B$26,MATCH($C10,'Shultis Faw'!$A$2:$A$26,1)))/(INDEX('Shultis Faw'!$A$2:$A$26,MATCH($C10,'Shultis Faw'!$A$2:$A$26,1)+1)-INDEX('Shultis Faw'!$A$2:$A$26,MATCH($C10,'Shultis Faw'!$A$2:$A$26,1))),$C10*'Shultis Faw'!$B$2/'Shultis Faw'!$A$2)</f>
        <v>3.9342400000000007E-2</v>
      </c>
      <c r="L10" s="83">
        <f>_xlfn.IFNA(INDEX('Shultis Faw'!$E$2:$E$26,MATCH($C10,'Shultis Faw'!$A$2:$A$26,1))+($C10-INDEX('Shultis Faw'!$A$2:$A$26,MATCH($C10,'Shultis Faw'!$A$2:$A$26,1)))*(INDEX('Shultis Faw'!$E$2:$E$26,MATCH($C10,'Shultis Faw'!$A$2:$A$26,1)+1)-INDEX('Shultis Faw'!$E$2:$E$26,MATCH($C10,'Shultis Faw'!$A$2:$A$26,1)))/(INDEX('Shultis Faw'!$A$2:$A$26,MATCH($C10,'Shultis Faw'!$A$2:$A$26,1)+1)-INDEX('Shultis Faw'!$A$2:$A$26,MATCH($C10,'Shultis Faw'!$A$2:$A$26,1))),$C10*'Shultis Faw'!$E$2/'Shultis Faw'!$A$2)</f>
        <v>-2.1892800000000007E-2</v>
      </c>
      <c r="M10" s="83">
        <f>_xlfn.IFNA(INDEX('Shultis Faw'!$F$2:$F$26,MATCH($C10,'Shultis Faw'!$A$2:$A$26,1))+($C10-INDEX('Shultis Faw'!$A$2:$A$26,MATCH($C10,'Shultis Faw'!$A$2:$A$26,1)))*(INDEX('Shultis Faw'!$F$2:$F$26,MATCH($C10,'Shultis Faw'!$A$2:$A$26,1)+1)-INDEX('Shultis Faw'!$F$2:$F$26,MATCH($C10,'Shultis Faw'!$A$2:$A$26,1)))/(INDEX('Shultis Faw'!$A$2:$A$26,MATCH($C10,'Shultis Faw'!$A$2:$A$26,1)+1)-INDEX('Shultis Faw'!$A$2:$A$26,MATCH($C10,'Shultis Faw'!$A$2:$A$26,1))),$C10*'Shultis Faw'!$F$2/'Shultis Faw'!$A$2)</f>
        <v>12.556144</v>
      </c>
      <c r="N10" s="83">
        <f>J10*(H10*'Externe blootstelling'!$D$23/2)^K10+L10*(TANH(((H10*'Externe blootstelling'!$D$23)/(2*M10))-2)-TANH(-2))/(1-TANH(-2))</f>
        <v>0.96534753939304363</v>
      </c>
      <c r="O10" s="83">
        <f>IF(N10=1,1+(I10-1)*H10*'Externe blootstelling'!$D$23/2,1+(I10-1)*(N10^(H10*'Externe blootstelling'!$D$23/2)-1)/(N10-1))</f>
        <v>9.458605584138569</v>
      </c>
      <c r="P10" s="67">
        <f>G10*EXP(-H10*'Externe blootstelling'!$D$23/2)*O10</f>
        <v>4.4930764961924057E-5</v>
      </c>
      <c r="Q10" s="68"/>
    </row>
    <row r="11" spans="1:122" x14ac:dyDescent="0.2">
      <c r="A11" s="217"/>
      <c r="B11" s="64" t="s">
        <v>103</v>
      </c>
      <c r="C11" s="66">
        <v>8.0185000000000006E-2</v>
      </c>
      <c r="D11" s="66">
        <f t="shared" si="0"/>
        <v>1.28296E-14</v>
      </c>
      <c r="E11" s="66">
        <v>2.6070000000000003E-2</v>
      </c>
      <c r="F11" s="66">
        <f>_xlfn.IFNA(INDEX('hp (pSv cm2)'!$B$2:$B$52,MATCH($C11,'hp (pSv cm2)'!$A$2:$A$52,1))+($C11-INDEX('hp (pSv cm2)'!$A$2:$A$52,MATCH($C11,'hp (pSv cm2)'!$A$2:$A$52,1)))*(INDEX('hp (pSv cm2)'!$B$2:$B$52,MATCH($C11,'hp (pSv cm2)'!$A$2:$A$52,1)+1)-INDEX('hp (pSv cm2)'!$B$2:$B$52,MATCH($C11,'hp (pSv cm2)'!$A$2:$A$52,1)))/(INDEX('hp (pSv cm2)'!$A$2:$A$52,MATCH($C11,'hp (pSv cm2)'!$A$2:$A$52,1)+1)-INDEX('hp (pSv cm2)'!$A$2:$A$52,MATCH($C11,'hp (pSv cm2)'!$A$2:$A$52,1))),$C11*'hp (pSv cm2)'!$B$2/'hp (pSv cm2)'!$A$2)</f>
        <v>0.44369375</v>
      </c>
      <c r="G11" s="67">
        <f t="shared" si="1"/>
        <v>1.1567096062500001E-2</v>
      </c>
      <c r="H11" s="83">
        <f>_xlfn.IFNA(0.997*(INDEX('Mass attenuation coefficients'!$B$2:$B$37,MATCH($C11,'Mass attenuation coefficients'!$A$2:$A$37,1))+($C11-INDEX('Mass attenuation coefficients'!$A$2:$A$37,MATCH($C11,'Mass attenuation coefficients'!$A$2:$A$37,1)))*(INDEX('Mass attenuation coefficients'!$B$2:$B$37,MATCH($C11,'Mass attenuation coefficients'!$A$2:$A$37,1)+1)-INDEX('Mass attenuation coefficients'!$B$2:$B$37,MATCH($C11,'Mass attenuation coefficients'!$A$2:$A$37,1)))/(INDEX('Mass attenuation coefficients'!$A$2:$A$37,MATCH($C11,'Mass attenuation coefficients'!$A$2:$A$37,1)+1)-INDEX('Mass attenuation coefficients'!$A$2:$A$37,MATCH($C11,'Mass attenuation coefficients'!$A$2:$A$37,1)))),0.997*$C11*'Mass attenuation coefficients'!$B$2/'Mass attenuation coefficients'!$A$2)</f>
        <v>0.18302901075</v>
      </c>
      <c r="I11" s="83">
        <f>_xlfn.IFNA(INDEX('Shultis Faw'!$C$2:$C$26,MATCH($C11,'Shultis Faw'!$A$2:$A$26,1))+($C11-INDEX('Shultis Faw'!$A$2:$A$26,MATCH($C11,'Shultis Faw'!$A$2:$A$26,1)))*(INDEX('Shultis Faw'!$C$2:$C$26,MATCH($C11,'Shultis Faw'!$A$2:$A$26,1)+1)-INDEX('Shultis Faw'!$C$2:$C$26,MATCH($C11,'Shultis Faw'!$A$2:$A$26,1)))/(INDEX('Shultis Faw'!$A$2:$A$26,MATCH($C11,'Shultis Faw'!$A$2:$A$26,1)+1)-INDEX('Shultis Faw'!$A$2:$A$26,MATCH($C11,'Shultis Faw'!$A$2:$A$26,1))),$C11*'Shultis Faw'!$C$2/'Shultis Faw'!$A$2)</f>
        <v>5.0553369999999997</v>
      </c>
      <c r="J11" s="83">
        <f>_xlfn.IFNA(INDEX('Shultis Faw'!$D$2:$D$26,MATCH($C11,'Shultis Faw'!$A$2:$A$26,1))+($C11-INDEX('Shultis Faw'!$A$2:$A$26,MATCH($C11,'Shultis Faw'!$A$2:$A$26,1)))*(INDEX('Shultis Faw'!$D$2:$D$26,MATCH($C11,'Shultis Faw'!$A$2:$A$26,1)+1)-INDEX('Shultis Faw'!$D$2:$D$26,MATCH($C11,'Shultis Faw'!$A$2:$A$26,1)))/(INDEX('Shultis Faw'!$A$2:$A$26,MATCH($C11,'Shultis Faw'!$A$2:$A$26,1)+1)-INDEX('Shultis Faw'!$A$2:$A$26,MATCH($C11,'Shultis Faw'!$A$2:$A$26,1))),$C11*'Shultis Faw'!$D$2/'Shultis Faw'!$A$2)</f>
        <v>2.0604985</v>
      </c>
      <c r="K11" s="83">
        <f>_xlfn.IFNA(INDEX('Shultis Faw'!$B$2:$B$26,MATCH($C11,'Shultis Faw'!$A$2:$A$26,1))+($C11-INDEX('Shultis Faw'!$A$2:$A$26,MATCH($C11,'Shultis Faw'!$A$2:$A$26,1)))*(INDEX('Shultis Faw'!$B$2:$B$26,MATCH($C11,'Shultis Faw'!$A$2:$A$26,1)+1)-INDEX('Shultis Faw'!$B$2:$B$26,MATCH($C11,'Shultis Faw'!$A$2:$A$26,1)))/(INDEX('Shultis Faw'!$A$2:$A$26,MATCH($C11,'Shultis Faw'!$A$2:$A$26,1)+1)-INDEX('Shultis Faw'!$A$2:$A$26,MATCH($C11,'Shultis Faw'!$A$2:$A$26,1))),$C11*'Shultis Faw'!$B$2/'Shultis Faw'!$A$2)</f>
        <v>-0.16816650000000002</v>
      </c>
      <c r="L11" s="83">
        <f>_xlfn.IFNA(INDEX('Shultis Faw'!$E$2:$E$26,MATCH($C11,'Shultis Faw'!$A$2:$A$26,1))+($C11-INDEX('Shultis Faw'!$A$2:$A$26,MATCH($C11,'Shultis Faw'!$A$2:$A$26,1)))*(INDEX('Shultis Faw'!$E$2:$E$26,MATCH($C11,'Shultis Faw'!$A$2:$A$26,1)+1)-INDEX('Shultis Faw'!$E$2:$E$26,MATCH($C11,'Shultis Faw'!$A$2:$A$26,1)))/(INDEX('Shultis Faw'!$A$2:$A$26,MATCH($C11,'Shultis Faw'!$A$2:$A$26,1)+1)-INDEX('Shultis Faw'!$A$2:$A$26,MATCH($C11,'Shultis Faw'!$A$2:$A$26,1))),$C11*'Shultis Faw'!$E$2/'Shultis Faw'!$A$2)</f>
        <v>7.7051800000000004E-2</v>
      </c>
      <c r="M11" s="83">
        <f>_xlfn.IFNA(INDEX('Shultis Faw'!$F$2:$F$26,MATCH($C11,'Shultis Faw'!$A$2:$A$26,1))+($C11-INDEX('Shultis Faw'!$A$2:$A$26,MATCH($C11,'Shultis Faw'!$A$2:$A$26,1)))*(INDEX('Shultis Faw'!$F$2:$F$26,MATCH($C11,'Shultis Faw'!$A$2:$A$26,1)+1)-INDEX('Shultis Faw'!$F$2:$F$26,MATCH($C11,'Shultis Faw'!$A$2:$A$26,1)))/(INDEX('Shultis Faw'!$A$2:$A$26,MATCH($C11,'Shultis Faw'!$A$2:$A$26,1)+1)-INDEX('Shultis Faw'!$A$2:$A$26,MATCH($C11,'Shultis Faw'!$A$2:$A$26,1))),$C11*'Shultis Faw'!$F$2/'Shultis Faw'!$A$2)</f>
        <v>13.666855</v>
      </c>
      <c r="N11" s="83">
        <f>J11*(H11*'Externe blootstelling'!$D$23/2)^K11+L11*(TANH(((H11*'Externe blootstelling'!$D$23)/(2*M11))-2)-TANH(-2))/(1-TANH(-2))</f>
        <v>1.7393309346985828</v>
      </c>
      <c r="O11" s="83">
        <f>IF(N11=1,1+(I11-1)*H11*'Externe blootstelling'!$D$23/2,1+(I11-1)*(N11^(H11*'Externe blootstelling'!$D$23/2)-1)/(N11-1))</f>
        <v>20.58413626308575</v>
      </c>
      <c r="P11" s="67">
        <f>G11*EXP(-H11*'Externe blootstelling'!$D$23/2)*O11</f>
        <v>1.5290780341634327E-2</v>
      </c>
      <c r="Q11" s="68"/>
    </row>
    <row r="12" spans="1:122" x14ac:dyDescent="0.2">
      <c r="A12" s="217"/>
      <c r="B12" s="64" t="s">
        <v>103</v>
      </c>
      <c r="C12" s="66">
        <v>8.5900000000000004E-2</v>
      </c>
      <c r="D12" s="66">
        <f t="shared" si="0"/>
        <v>1.3743999999999999E-14</v>
      </c>
      <c r="E12" s="66">
        <v>5.1000000000000006E-5</v>
      </c>
      <c r="F12" s="66">
        <f>_xlfn.IFNA(INDEX('hp (pSv cm2)'!$B$2:$B$52,MATCH($C12,'hp (pSv cm2)'!$A$2:$A$52,1))+($C12-INDEX('hp (pSv cm2)'!$A$2:$A$52,MATCH($C12,'hp (pSv cm2)'!$A$2:$A$52,1)))*(INDEX('hp (pSv cm2)'!$B$2:$B$52,MATCH($C12,'hp (pSv cm2)'!$A$2:$A$52,1)+1)-INDEX('hp (pSv cm2)'!$B$2:$B$52,MATCH($C12,'hp (pSv cm2)'!$A$2:$A$52,1)))/(INDEX('hp (pSv cm2)'!$A$2:$A$52,MATCH($C12,'hp (pSv cm2)'!$A$2:$A$52,1)+1)-INDEX('hp (pSv cm2)'!$A$2:$A$52,MATCH($C12,'hp (pSv cm2)'!$A$2:$A$52,1))),$C12*'hp (pSv cm2)'!$B$2/'hp (pSv cm2)'!$A$2)</f>
        <v>0.46512500000000001</v>
      </c>
      <c r="G12" s="67">
        <f t="shared" si="1"/>
        <v>2.3721375000000005E-5</v>
      </c>
      <c r="H12" s="83">
        <f>_xlfn.IFNA(0.997*(INDEX('Mass attenuation coefficients'!$B$2:$B$37,MATCH($C12,'Mass attenuation coefficients'!$A$2:$A$37,1))+($C12-INDEX('Mass attenuation coefficients'!$A$2:$A$37,MATCH($C12,'Mass attenuation coefficients'!$A$2:$A$37,1)))*(INDEX('Mass attenuation coefficients'!$B$2:$B$37,MATCH($C12,'Mass attenuation coefficients'!$A$2:$A$37,1)+1)-INDEX('Mass attenuation coefficients'!$B$2:$B$37,MATCH($C12,'Mass attenuation coefficients'!$A$2:$A$37,1)))/(INDEX('Mass attenuation coefficients'!$A$2:$A$37,MATCH($C12,'Mass attenuation coefficients'!$A$2:$A$37,1)+1)-INDEX('Mass attenuation coefficients'!$A$2:$A$37,MATCH($C12,'Mass attenuation coefficients'!$A$2:$A$37,1)))),0.997*$C12*'Mass attenuation coefficients'!$B$2/'Mass attenuation coefficients'!$A$2)</f>
        <v>0.17932540499999999</v>
      </c>
      <c r="I12" s="83">
        <f>_xlfn.IFNA(INDEX('Shultis Faw'!$C$2:$C$26,MATCH($C12,'Shultis Faw'!$A$2:$A$26,1))+($C12-INDEX('Shultis Faw'!$A$2:$A$26,MATCH($C12,'Shultis Faw'!$A$2:$A$26,1)))*(INDEX('Shultis Faw'!$C$2:$C$26,MATCH($C12,'Shultis Faw'!$A$2:$A$26,1)+1)-INDEX('Shultis Faw'!$C$2:$C$26,MATCH($C12,'Shultis Faw'!$A$2:$A$26,1)))/(INDEX('Shultis Faw'!$A$2:$A$26,MATCH($C12,'Shultis Faw'!$A$2:$A$26,1)+1)-INDEX('Shultis Faw'!$A$2:$A$26,MATCH($C12,'Shultis Faw'!$A$2:$A$26,1))),$C12*'Shultis Faw'!$C$2/'Shultis Faw'!$A$2)</f>
        <v>4.9421800000000005</v>
      </c>
      <c r="J12" s="83">
        <f>_xlfn.IFNA(INDEX('Shultis Faw'!$D$2:$D$26,MATCH($C12,'Shultis Faw'!$A$2:$A$26,1))+($C12-INDEX('Shultis Faw'!$A$2:$A$26,MATCH($C12,'Shultis Faw'!$A$2:$A$26,1)))*(INDEX('Shultis Faw'!$D$2:$D$26,MATCH($C12,'Shultis Faw'!$A$2:$A$26,1)+1)-INDEX('Shultis Faw'!$D$2:$D$26,MATCH($C12,'Shultis Faw'!$A$2:$A$26,1)))/(INDEX('Shultis Faw'!$A$2:$A$26,MATCH($C12,'Shultis Faw'!$A$2:$A$26,1)+1)-INDEX('Shultis Faw'!$A$2:$A$26,MATCH($C12,'Shultis Faw'!$A$2:$A$26,1))),$C12*'Shultis Faw'!$D$2/'Shultis Faw'!$A$2)</f>
        <v>2.1067900000000002</v>
      </c>
      <c r="K12" s="83">
        <f>_xlfn.IFNA(INDEX('Shultis Faw'!$B$2:$B$26,MATCH($C12,'Shultis Faw'!$A$2:$A$26,1))+($C12-INDEX('Shultis Faw'!$A$2:$A$26,MATCH($C12,'Shultis Faw'!$A$2:$A$26,1)))*(INDEX('Shultis Faw'!$B$2:$B$26,MATCH($C12,'Shultis Faw'!$A$2:$A$26,1)+1)-INDEX('Shultis Faw'!$B$2:$B$26,MATCH($C12,'Shultis Faw'!$A$2:$A$26,1)))/(INDEX('Shultis Faw'!$A$2:$A$26,MATCH($C12,'Shultis Faw'!$A$2:$A$26,1)+1)-INDEX('Shultis Faw'!$A$2:$A$26,MATCH($C12,'Shultis Faw'!$A$2:$A$26,1))),$C12*'Shultis Faw'!$B$2/'Shultis Faw'!$A$2)</f>
        <v>-0.17331000000000002</v>
      </c>
      <c r="L12" s="83">
        <f>_xlfn.IFNA(INDEX('Shultis Faw'!$E$2:$E$26,MATCH($C12,'Shultis Faw'!$A$2:$A$26,1))+($C12-INDEX('Shultis Faw'!$A$2:$A$26,MATCH($C12,'Shultis Faw'!$A$2:$A$26,1)))*(INDEX('Shultis Faw'!$E$2:$E$26,MATCH($C12,'Shultis Faw'!$A$2:$A$26,1)+1)-INDEX('Shultis Faw'!$E$2:$E$26,MATCH($C12,'Shultis Faw'!$A$2:$A$26,1)))/(INDEX('Shultis Faw'!$A$2:$A$26,MATCH($C12,'Shultis Faw'!$A$2:$A$26,1)+1)-INDEX('Shultis Faw'!$A$2:$A$26,MATCH($C12,'Shultis Faw'!$A$2:$A$26,1))),$C12*'Shultis Faw'!$E$2/'Shultis Faw'!$A$2)</f>
        <v>7.8652E-2</v>
      </c>
      <c r="M12" s="83">
        <f>_xlfn.IFNA(INDEX('Shultis Faw'!$F$2:$F$26,MATCH($C12,'Shultis Faw'!$A$2:$A$26,1))+($C12-INDEX('Shultis Faw'!$A$2:$A$26,MATCH($C12,'Shultis Faw'!$A$2:$A$26,1)))*(INDEX('Shultis Faw'!$F$2:$F$26,MATCH($C12,'Shultis Faw'!$A$2:$A$26,1)+1)-INDEX('Shultis Faw'!$F$2:$F$26,MATCH($C12,'Shultis Faw'!$A$2:$A$26,1)))/(INDEX('Shultis Faw'!$A$2:$A$26,MATCH($C12,'Shultis Faw'!$A$2:$A$26,1)+1)-INDEX('Shultis Faw'!$A$2:$A$26,MATCH($C12,'Shultis Faw'!$A$2:$A$26,1))),$C12*'Shultis Faw'!$F$2/'Shultis Faw'!$A$2)</f>
        <v>13.569699999999999</v>
      </c>
      <c r="N12" s="83">
        <f>J12*(H12*'Externe blootstelling'!$D$23/2)^K12+L12*(TANH(((H12*'Externe blootstelling'!$D$23)/(2*M12))-2)-TANH(-2))/(1-TANH(-2))</f>
        <v>1.7754610208839852</v>
      </c>
      <c r="O12" s="83">
        <f>IF(N12=1,1+(I12-1)*H12*'Externe blootstelling'!$D$23/2,1+(I12-1)*(N12^(H12*'Externe blootstelling'!$D$23/2)-1)/(N12-1))</f>
        <v>19.728226547623745</v>
      </c>
      <c r="P12" s="67">
        <f>G12*EXP(-H12*'Externe blootstelling'!$D$23/2)*O12</f>
        <v>3.1770744921231168E-5</v>
      </c>
      <c r="Q12" s="68"/>
    </row>
    <row r="13" spans="1:122" x14ac:dyDescent="0.2">
      <c r="A13" s="217"/>
      <c r="B13" s="64" t="s">
        <v>103</v>
      </c>
      <c r="C13" s="66">
        <v>0.16392999999999999</v>
      </c>
      <c r="D13" s="66">
        <f t="shared" si="0"/>
        <v>2.6228799999999997E-14</v>
      </c>
      <c r="E13" s="66">
        <v>2.1100000000000001E-4</v>
      </c>
      <c r="F13" s="66">
        <f>_xlfn.IFNA(INDEX('hp (pSv cm2)'!$B$2:$B$52,MATCH($C13,'hp (pSv cm2)'!$A$2:$A$52,1))+($C13-INDEX('hp (pSv cm2)'!$A$2:$A$52,MATCH($C13,'hp (pSv cm2)'!$A$2:$A$52,1)))*(INDEX('hp (pSv cm2)'!$B$2:$B$52,MATCH($C13,'hp (pSv cm2)'!$A$2:$A$52,1)+1)-INDEX('hp (pSv cm2)'!$B$2:$B$52,MATCH($C13,'hp (pSv cm2)'!$A$2:$A$52,1)))/(INDEX('hp (pSv cm2)'!$A$2:$A$52,MATCH($C13,'hp (pSv cm2)'!$A$2:$A$52,1)+1)-INDEX('hp (pSv cm2)'!$A$2:$A$52,MATCH($C13,'hp (pSv cm2)'!$A$2:$A$52,1))),$C13*'hp (pSv cm2)'!$B$2/'hp (pSv cm2)'!$A$2)</f>
        <v>0.81748579999999993</v>
      </c>
      <c r="G13" s="67">
        <f t="shared" si="1"/>
        <v>1.7248950379999999E-4</v>
      </c>
      <c r="H13" s="83">
        <f>_xlfn.IFNA(0.997*(INDEX('Mass attenuation coefficients'!$B$2:$B$37,MATCH($C13,'Mass attenuation coefficients'!$A$2:$A$37,1))+($C13-INDEX('Mass attenuation coefficients'!$A$2:$A$37,MATCH($C13,'Mass attenuation coefficients'!$A$2:$A$37,1)))*(INDEX('Mass attenuation coefficients'!$B$2:$B$37,MATCH($C13,'Mass attenuation coefficients'!$A$2:$A$37,1)+1)-INDEX('Mass attenuation coefficients'!$B$2:$B$37,MATCH($C13,'Mass attenuation coefficients'!$A$2:$A$37,1)))/(INDEX('Mass attenuation coefficients'!$A$2:$A$37,MATCH($C13,'Mass attenuation coefficients'!$A$2:$A$37,1)+1)-INDEX('Mass attenuation coefficients'!$A$2:$A$37,MATCH($C13,'Mass attenuation coefficients'!$A$2:$A$37,1)))),0.997*$C13*'Mass attenuation coefficients'!$B$2/'Mass attenuation coefficients'!$A$2)</f>
        <v>0.14629868330000001</v>
      </c>
      <c r="I13" s="83">
        <f>_xlfn.IFNA(INDEX('Shultis Faw'!$C$2:$C$26,MATCH($C13,'Shultis Faw'!$A$2:$A$26,1))+($C13-INDEX('Shultis Faw'!$A$2:$A$26,MATCH($C13,'Shultis Faw'!$A$2:$A$26,1)))*(INDEX('Shultis Faw'!$C$2:$C$26,MATCH($C13,'Shultis Faw'!$A$2:$A$26,1)+1)-INDEX('Shultis Faw'!$C$2:$C$26,MATCH($C13,'Shultis Faw'!$A$2:$A$26,1)))/(INDEX('Shultis Faw'!$A$2:$A$26,MATCH($C13,'Shultis Faw'!$A$2:$A$26,1)+1)-INDEX('Shultis Faw'!$A$2:$A$26,MATCH($C13,'Shultis Faw'!$A$2:$A$26,1))),$C13*'Shultis Faw'!$C$2/'Shultis Faw'!$A$2)</f>
        <v>3.7802666</v>
      </c>
      <c r="J13" s="83">
        <f>_xlfn.IFNA(INDEX('Shultis Faw'!$D$2:$D$26,MATCH($C13,'Shultis Faw'!$A$2:$A$26,1))+($C13-INDEX('Shultis Faw'!$A$2:$A$26,MATCH($C13,'Shultis Faw'!$A$2:$A$26,1)))*(INDEX('Shultis Faw'!$D$2:$D$26,MATCH($C13,'Shultis Faw'!$A$2:$A$26,1)+1)-INDEX('Shultis Faw'!$D$2:$D$26,MATCH($C13,'Shultis Faw'!$A$2:$A$26,1)))/(INDEX('Shultis Faw'!$A$2:$A$26,MATCH($C13,'Shultis Faw'!$A$2:$A$26,1)+1)-INDEX('Shultis Faw'!$A$2:$A$26,MATCH($C13,'Shultis Faw'!$A$2:$A$26,1))),$C13*'Shultis Faw'!$D$2/'Shultis Faw'!$A$2)</f>
        <v>2.2174831999999998</v>
      </c>
      <c r="K13" s="83">
        <f>_xlfn.IFNA(INDEX('Shultis Faw'!$B$2:$B$26,MATCH($C13,'Shultis Faw'!$A$2:$A$26,1))+($C13-INDEX('Shultis Faw'!$A$2:$A$26,MATCH($C13,'Shultis Faw'!$A$2:$A$26,1)))*(INDEX('Shultis Faw'!$B$2:$B$26,MATCH($C13,'Shultis Faw'!$A$2:$A$26,1)+1)-INDEX('Shultis Faw'!$B$2:$B$26,MATCH($C13,'Shultis Faw'!$A$2:$A$26,1)))/(INDEX('Shultis Faw'!$A$2:$A$26,MATCH($C13,'Shultis Faw'!$A$2:$A$26,1)+1)-INDEX('Shultis Faw'!$A$2:$A$26,MATCH($C13,'Shultis Faw'!$A$2:$A$26,1))),$C13*'Shultis Faw'!$B$2/'Shultis Faw'!$A$2)</f>
        <v>-0.1824926</v>
      </c>
      <c r="L13" s="83">
        <f>_xlfn.IFNA(INDEX('Shultis Faw'!$E$2:$E$26,MATCH($C13,'Shultis Faw'!$A$2:$A$26,1))+($C13-INDEX('Shultis Faw'!$A$2:$A$26,MATCH($C13,'Shultis Faw'!$A$2:$A$26,1)))*(INDEX('Shultis Faw'!$E$2:$E$26,MATCH($C13,'Shultis Faw'!$A$2:$A$26,1)+1)-INDEX('Shultis Faw'!$E$2:$E$26,MATCH($C13,'Shultis Faw'!$A$2:$A$26,1)))/(INDEX('Shultis Faw'!$A$2:$A$26,MATCH($C13,'Shultis Faw'!$A$2:$A$26,1)+1)-INDEX('Shultis Faw'!$A$2:$A$26,MATCH($C13,'Shultis Faw'!$A$2:$A$26,1))),$C13*'Shultis Faw'!$E$2/'Shultis Faw'!$A$2)</f>
        <v>7.7616420000000005E-2</v>
      </c>
      <c r="M13" s="83">
        <f>_xlfn.IFNA(INDEX('Shultis Faw'!$F$2:$F$26,MATCH($C13,'Shultis Faw'!$A$2:$A$26,1))+($C13-INDEX('Shultis Faw'!$A$2:$A$26,MATCH($C13,'Shultis Faw'!$A$2:$A$26,1)))*(INDEX('Shultis Faw'!$F$2:$F$26,MATCH($C13,'Shultis Faw'!$A$2:$A$26,1)+1)-INDEX('Shultis Faw'!$F$2:$F$26,MATCH($C13,'Shultis Faw'!$A$2:$A$26,1)))/(INDEX('Shultis Faw'!$A$2:$A$26,MATCH($C13,'Shultis Faw'!$A$2:$A$26,1)+1)-INDEX('Shultis Faw'!$A$2:$A$26,MATCH($C13,'Shultis Faw'!$A$2:$A$26,1))),$C13*'Shultis Faw'!$F$2/'Shultis Faw'!$A$2)</f>
        <v>14.276365999999999</v>
      </c>
      <c r="N13" s="83">
        <f>J13*(H13*'Externe blootstelling'!$D$23/2)^K13+L13*(TANH(((H13*'Externe blootstelling'!$D$23)/(2*M13))-2)-TANH(-2))/(1-TANH(-2))</f>
        <v>1.9216870879700625</v>
      </c>
      <c r="O13" s="83">
        <f>IF(N13=1,1+(I13-1)*H13*'Externe blootstelling'!$D$23/2,1+(I13-1)*(N13^(H13*'Externe blootstelling'!$D$23/2)-1)/(N13-1))</f>
        <v>10.632000817776225</v>
      </c>
      <c r="P13" s="67">
        <f>G13*EXP(-H13*'Externe blootstelling'!$D$23/2)*O13</f>
        <v>2.0432758932683735E-4</v>
      </c>
      <c r="Q13" s="68"/>
    </row>
    <row r="14" spans="1:122" x14ac:dyDescent="0.2">
      <c r="A14" s="217"/>
      <c r="B14" s="64" t="s">
        <v>103</v>
      </c>
      <c r="C14" s="66">
        <v>0.17721400000000001</v>
      </c>
      <c r="D14" s="66">
        <f t="shared" si="0"/>
        <v>2.8354239999999997E-14</v>
      </c>
      <c r="E14" s="66">
        <v>2.7700000000000003E-3</v>
      </c>
      <c r="F14" s="66">
        <f>_xlfn.IFNA(INDEX('hp (pSv cm2)'!$B$2:$B$52,MATCH($C14,'hp (pSv cm2)'!$A$2:$A$52,1))+($C14-INDEX('hp (pSv cm2)'!$A$2:$A$52,MATCH($C14,'hp (pSv cm2)'!$A$2:$A$52,1)))*(INDEX('hp (pSv cm2)'!$B$2:$B$52,MATCH($C14,'hp (pSv cm2)'!$A$2:$A$52,1)+1)-INDEX('hp (pSv cm2)'!$B$2:$B$52,MATCH($C14,'hp (pSv cm2)'!$A$2:$A$52,1)))/(INDEX('hp (pSv cm2)'!$A$2:$A$52,MATCH($C14,'hp (pSv cm2)'!$A$2:$A$52,1)+1)-INDEX('hp (pSv cm2)'!$A$2:$A$52,MATCH($C14,'hp (pSv cm2)'!$A$2:$A$52,1))),$C14*'hp (pSv cm2)'!$B$2/'hp (pSv cm2)'!$A$2)</f>
        <v>0.88470283999999999</v>
      </c>
      <c r="G14" s="67">
        <f t="shared" si="1"/>
        <v>2.4506268668000003E-3</v>
      </c>
      <c r="H14" s="83">
        <f>_xlfn.IFNA(0.997*(INDEX('Mass attenuation coefficients'!$B$2:$B$37,MATCH($C14,'Mass attenuation coefficients'!$A$2:$A$37,1))+($C14-INDEX('Mass attenuation coefficients'!$A$2:$A$37,MATCH($C14,'Mass attenuation coefficients'!$A$2:$A$37,1)))*(INDEX('Mass attenuation coefficients'!$B$2:$B$37,MATCH($C14,'Mass attenuation coefficients'!$A$2:$A$37,1)+1)-INDEX('Mass attenuation coefficients'!$B$2:$B$37,MATCH($C14,'Mass attenuation coefficients'!$A$2:$A$37,1)))/(INDEX('Mass attenuation coefficients'!$A$2:$A$37,MATCH($C14,'Mass attenuation coefficients'!$A$2:$A$37,1)+1)-INDEX('Mass attenuation coefficients'!$A$2:$A$37,MATCH($C14,'Mass attenuation coefficients'!$A$2:$A$37,1)))),0.997*$C14*'Mass attenuation coefficients'!$B$2/'Mass attenuation coefficients'!$A$2)</f>
        <v>0.14272276334</v>
      </c>
      <c r="I14" s="83">
        <f>_xlfn.IFNA(INDEX('Shultis Faw'!$C$2:$C$26,MATCH($C14,'Shultis Faw'!$A$2:$A$26,1))+($C14-INDEX('Shultis Faw'!$A$2:$A$26,MATCH($C14,'Shultis Faw'!$A$2:$A$26,1)))*(INDEX('Shultis Faw'!$C$2:$C$26,MATCH($C14,'Shultis Faw'!$A$2:$A$26,1)+1)-INDEX('Shultis Faw'!$C$2:$C$26,MATCH($C14,'Shultis Faw'!$A$2:$A$26,1)))/(INDEX('Shultis Faw'!$A$2:$A$26,MATCH($C14,'Shultis Faw'!$A$2:$A$26,1)+1)-INDEX('Shultis Faw'!$A$2:$A$26,MATCH($C14,'Shultis Faw'!$A$2:$A$26,1))),$C14*'Shultis Faw'!$C$2/'Shultis Faw'!$A$2)</f>
        <v>3.6689466799999999</v>
      </c>
      <c r="J14" s="83">
        <f>_xlfn.IFNA(INDEX('Shultis Faw'!$D$2:$D$26,MATCH($C14,'Shultis Faw'!$A$2:$A$26,1))+($C14-INDEX('Shultis Faw'!$A$2:$A$26,MATCH($C14,'Shultis Faw'!$A$2:$A$26,1)))*(INDEX('Shultis Faw'!$D$2:$D$26,MATCH($C14,'Shultis Faw'!$A$2:$A$26,1)+1)-INDEX('Shultis Faw'!$D$2:$D$26,MATCH($C14,'Shultis Faw'!$A$2:$A$26,1)))/(INDEX('Shultis Faw'!$A$2:$A$26,MATCH($C14,'Shultis Faw'!$A$2:$A$26,1)+1)-INDEX('Shultis Faw'!$A$2:$A$26,MATCH($C14,'Shultis Faw'!$A$2:$A$26,1))),$C14*'Shultis Faw'!$D$2/'Shultis Faw'!$A$2)</f>
        <v>2.1941033599999997</v>
      </c>
      <c r="K14" s="83">
        <f>_xlfn.IFNA(INDEX('Shultis Faw'!$B$2:$B$26,MATCH($C14,'Shultis Faw'!$A$2:$A$26,1))+($C14-INDEX('Shultis Faw'!$A$2:$A$26,MATCH($C14,'Shultis Faw'!$A$2:$A$26,1)))*(INDEX('Shultis Faw'!$B$2:$B$26,MATCH($C14,'Shultis Faw'!$A$2:$A$26,1)+1)-INDEX('Shultis Faw'!$B$2:$B$26,MATCH($C14,'Shultis Faw'!$A$2:$A$26,1)))/(INDEX('Shultis Faw'!$A$2:$A$26,MATCH($C14,'Shultis Faw'!$A$2:$A$26,1)+1)-INDEX('Shultis Faw'!$A$2:$A$26,MATCH($C14,'Shultis Faw'!$A$2:$A$26,1))),$C14*'Shultis Faw'!$B$2/'Shultis Faw'!$A$2)</f>
        <v>-0.18010147999999998</v>
      </c>
      <c r="L14" s="83">
        <f>_xlfn.IFNA(INDEX('Shultis Faw'!$E$2:$E$26,MATCH($C14,'Shultis Faw'!$A$2:$A$26,1))+($C14-INDEX('Shultis Faw'!$A$2:$A$26,MATCH($C14,'Shultis Faw'!$A$2:$A$26,1)))*(INDEX('Shultis Faw'!$E$2:$E$26,MATCH($C14,'Shultis Faw'!$A$2:$A$26,1)+1)-INDEX('Shultis Faw'!$E$2:$E$26,MATCH($C14,'Shultis Faw'!$A$2:$A$26,1)))/(INDEX('Shultis Faw'!$A$2:$A$26,MATCH($C14,'Shultis Faw'!$A$2:$A$26,1)+1)-INDEX('Shultis Faw'!$A$2:$A$26,MATCH($C14,'Shultis Faw'!$A$2:$A$26,1))),$C14*'Shultis Faw'!$E$2/'Shultis Faw'!$A$2)</f>
        <v>7.7536716000000006E-2</v>
      </c>
      <c r="M14" s="83">
        <f>_xlfn.IFNA(INDEX('Shultis Faw'!$F$2:$F$26,MATCH($C14,'Shultis Faw'!$A$2:$A$26,1))+($C14-INDEX('Shultis Faw'!$A$2:$A$26,MATCH($C14,'Shultis Faw'!$A$2:$A$26,1)))*(INDEX('Shultis Faw'!$F$2:$F$26,MATCH($C14,'Shultis Faw'!$A$2:$A$26,1)+1)-INDEX('Shultis Faw'!$F$2:$F$26,MATCH($C14,'Shultis Faw'!$A$2:$A$26,1)))/(INDEX('Shultis Faw'!$A$2:$A$26,MATCH($C14,'Shultis Faw'!$A$2:$A$26,1)+1)-INDEX('Shultis Faw'!$A$2:$A$26,MATCH($C14,'Shultis Faw'!$A$2:$A$26,1))),$C14*'Shultis Faw'!$F$2/'Shultis Faw'!$A$2)</f>
        <v>14.358726799999999</v>
      </c>
      <c r="N14" s="83">
        <f>J14*(H14*'Externe blootstelling'!$D$23/2)^K14+L14*(TANH(((H14*'Externe blootstelling'!$D$23)/(2*M14))-2)-TANH(-2))/(1-TANH(-2))</f>
        <v>1.9134962776185847</v>
      </c>
      <c r="O14" s="83">
        <f>IF(N14=1,1+(I14-1)*H14*'Externe blootstelling'!$D$23/2,1+(I14-1)*(N14^(H14*'Externe blootstelling'!$D$23/2)-1)/(N14-1))</f>
        <v>9.7997676778927296</v>
      </c>
      <c r="P14" s="67">
        <f>G14*EXP(-H14*'Externe blootstelling'!$D$23/2)*O14</f>
        <v>2.8231720262020844E-3</v>
      </c>
      <c r="Q14" s="68"/>
    </row>
    <row r="15" spans="1:122" x14ac:dyDescent="0.2">
      <c r="A15" s="217"/>
      <c r="B15" s="64" t="s">
        <v>103</v>
      </c>
      <c r="C15" s="66">
        <v>0.23218</v>
      </c>
      <c r="D15" s="66">
        <f t="shared" si="0"/>
        <v>3.71488E-14</v>
      </c>
      <c r="E15" s="66">
        <v>2.3E-5</v>
      </c>
      <c r="F15" s="66">
        <f>_xlfn.IFNA(INDEX('hp (pSv cm2)'!$B$2:$B$52,MATCH($C15,'hp (pSv cm2)'!$A$2:$A$52,1))+($C15-INDEX('hp (pSv cm2)'!$A$2:$A$52,MATCH($C15,'hp (pSv cm2)'!$A$2:$A$52,1)))*(INDEX('hp (pSv cm2)'!$B$2:$B$52,MATCH($C15,'hp (pSv cm2)'!$A$2:$A$52,1)+1)-INDEX('hp (pSv cm2)'!$B$2:$B$52,MATCH($C15,'hp (pSv cm2)'!$A$2:$A$52,1)))/(INDEX('hp (pSv cm2)'!$A$2:$A$52,MATCH($C15,'hp (pSv cm2)'!$A$2:$A$52,1)+1)-INDEX('hp (pSv cm2)'!$A$2:$A$52,MATCH($C15,'hp (pSv cm2)'!$A$2:$A$52,1))),$C15*'hp (pSv cm2)'!$B$2/'hp (pSv cm2)'!$A$2)</f>
        <v>1.164118</v>
      </c>
      <c r="G15" s="67">
        <f t="shared" si="1"/>
        <v>2.6774714000000001E-5</v>
      </c>
      <c r="H15" s="83">
        <f>_xlfn.IFNA(0.997*(INDEX('Mass attenuation coefficients'!$B$2:$B$37,MATCH($C15,'Mass attenuation coefficients'!$A$2:$A$37,1))+($C15-INDEX('Mass attenuation coefficients'!$A$2:$A$37,MATCH($C15,'Mass attenuation coefficients'!$A$2:$A$37,1)))*(INDEX('Mass attenuation coefficients'!$B$2:$B$37,MATCH($C15,'Mass attenuation coefficients'!$A$2:$A$37,1)+1)-INDEX('Mass attenuation coefficients'!$B$2:$B$37,MATCH($C15,'Mass attenuation coefficients'!$A$2:$A$37,1)))/(INDEX('Mass attenuation coefficients'!$A$2:$A$37,MATCH($C15,'Mass attenuation coefficients'!$A$2:$A$37,1)+1)-INDEX('Mass attenuation coefficients'!$A$2:$A$37,MATCH($C15,'Mass attenuation coefficients'!$A$2:$A$37,1)))),0.997*$C15*'Mass attenuation coefficients'!$B$2/'Mass attenuation coefficients'!$A$2)</f>
        <v>0.13068564336000002</v>
      </c>
      <c r="I15" s="83">
        <f>_xlfn.IFNA(INDEX('Shultis Faw'!$C$2:$C$26,MATCH($C15,'Shultis Faw'!$A$2:$A$26,1))+($C15-INDEX('Shultis Faw'!$A$2:$A$26,MATCH($C15,'Shultis Faw'!$A$2:$A$26,1)))*(INDEX('Shultis Faw'!$C$2:$C$26,MATCH($C15,'Shultis Faw'!$A$2:$A$26,1)+1)-INDEX('Shultis Faw'!$C$2:$C$26,MATCH($C15,'Shultis Faw'!$A$2:$A$26,1)))/(INDEX('Shultis Faw'!$A$2:$A$26,MATCH($C15,'Shultis Faw'!$A$2:$A$26,1)+1)-INDEX('Shultis Faw'!$A$2:$A$26,MATCH($C15,'Shultis Faw'!$A$2:$A$26,1))),$C15*'Shultis Faw'!$C$2/'Shultis Faw'!$A$2)</f>
        <v>3.2984356000000004</v>
      </c>
      <c r="J15" s="83">
        <f>_xlfn.IFNA(INDEX('Shultis Faw'!$D$2:$D$26,MATCH($C15,'Shultis Faw'!$A$2:$A$26,1))+($C15-INDEX('Shultis Faw'!$A$2:$A$26,MATCH($C15,'Shultis Faw'!$A$2:$A$26,1)))*(INDEX('Shultis Faw'!$D$2:$D$26,MATCH($C15,'Shultis Faw'!$A$2:$A$26,1)+1)-INDEX('Shultis Faw'!$D$2:$D$26,MATCH($C15,'Shultis Faw'!$A$2:$A$26,1)))/(INDEX('Shultis Faw'!$A$2:$A$26,MATCH($C15,'Shultis Faw'!$A$2:$A$26,1)+1)-INDEX('Shultis Faw'!$A$2:$A$26,MATCH($C15,'Shultis Faw'!$A$2:$A$26,1))),$C15*'Shultis Faw'!$D$2/'Shultis Faw'!$A$2)</f>
        <v>2.1115223999999997</v>
      </c>
      <c r="K15" s="83">
        <f>_xlfn.IFNA(INDEX('Shultis Faw'!$B$2:$B$26,MATCH($C15,'Shultis Faw'!$A$2:$A$26,1))+($C15-INDEX('Shultis Faw'!$A$2:$A$26,MATCH($C15,'Shultis Faw'!$A$2:$A$26,1)))*(INDEX('Shultis Faw'!$B$2:$B$26,MATCH($C15,'Shultis Faw'!$A$2:$A$26,1)+1)-INDEX('Shultis Faw'!$B$2:$B$26,MATCH($C15,'Shultis Faw'!$A$2:$A$26,1)))/(INDEX('Shultis Faw'!$A$2:$A$26,MATCH($C15,'Shultis Faw'!$A$2:$A$26,1)+1)-INDEX('Shultis Faw'!$A$2:$A$26,MATCH($C15,'Shultis Faw'!$A$2:$A$26,1))),$C15*'Shultis Faw'!$B$2/'Shultis Faw'!$A$2)</f>
        <v>-0.1721384</v>
      </c>
      <c r="L15" s="83">
        <f>_xlfn.IFNA(INDEX('Shultis Faw'!$E$2:$E$26,MATCH($C15,'Shultis Faw'!$A$2:$A$26,1))+($C15-INDEX('Shultis Faw'!$A$2:$A$26,MATCH($C15,'Shultis Faw'!$A$2:$A$26,1)))*(INDEX('Shultis Faw'!$E$2:$E$26,MATCH($C15,'Shultis Faw'!$A$2:$A$26,1)+1)-INDEX('Shultis Faw'!$E$2:$E$26,MATCH($C15,'Shultis Faw'!$A$2:$A$26,1)))/(INDEX('Shultis Faw'!$A$2:$A$26,MATCH($C15,'Shultis Faw'!$A$2:$A$26,1)+1)-INDEX('Shultis Faw'!$A$2:$A$26,MATCH($C15,'Shultis Faw'!$A$2:$A$26,1))),$C15*'Shultis Faw'!$E$2/'Shultis Faw'!$A$2)</f>
        <v>7.3570579999999997E-2</v>
      </c>
      <c r="M15" s="83">
        <f>_xlfn.IFNA(INDEX('Shultis Faw'!$F$2:$F$26,MATCH($C15,'Shultis Faw'!$A$2:$A$26,1))+($C15-INDEX('Shultis Faw'!$A$2:$A$26,MATCH($C15,'Shultis Faw'!$A$2:$A$26,1)))*(INDEX('Shultis Faw'!$F$2:$F$26,MATCH($C15,'Shultis Faw'!$A$2:$A$26,1)+1)-INDEX('Shultis Faw'!$F$2:$F$26,MATCH($C15,'Shultis Faw'!$A$2:$A$26,1)))/(INDEX('Shultis Faw'!$A$2:$A$26,MATCH($C15,'Shultis Faw'!$A$2:$A$26,1)+1)-INDEX('Shultis Faw'!$A$2:$A$26,MATCH($C15,'Shultis Faw'!$A$2:$A$26,1))),$C15*'Shultis Faw'!$F$2/'Shultis Faw'!$A$2)</f>
        <v>14.406677999999999</v>
      </c>
      <c r="N15" s="83">
        <f>J15*(H15*'Externe blootstelling'!$D$23/2)^K15+L15*(TANH(((H15*'Externe blootstelling'!$D$23)/(2*M15))-2)-TANH(-2))/(1-TANH(-2))</f>
        <v>1.8809245702287831</v>
      </c>
      <c r="O15" s="83">
        <f>IF(N15=1,1+(I15-1)*H15*'Externe blootstelling'!$D$23/2,1+(I15-1)*(N15^(H15*'Externe blootstelling'!$D$23/2)-1)/(N15-1))</f>
        <v>7.3928953097683641</v>
      </c>
      <c r="P15" s="67">
        <f>G15*EXP(-H15*'Externe blootstelling'!$D$23/2)*O15</f>
        <v>2.7873954713826051E-5</v>
      </c>
      <c r="Q15" s="68"/>
    </row>
    <row r="16" spans="1:122" x14ac:dyDescent="0.2">
      <c r="A16" s="217"/>
      <c r="B16" s="64" t="s">
        <v>103</v>
      </c>
      <c r="C16" s="66">
        <v>0.27249800000000002</v>
      </c>
      <c r="D16" s="66">
        <f t="shared" si="0"/>
        <v>4.3599679999999999E-14</v>
      </c>
      <c r="E16" s="66">
        <v>5.8100000000000003E-4</v>
      </c>
      <c r="F16" s="66">
        <f>_xlfn.IFNA(INDEX('hp (pSv cm2)'!$B$2:$B$52,MATCH($C16,'hp (pSv cm2)'!$A$2:$A$52,1))+($C16-INDEX('hp (pSv cm2)'!$A$2:$A$52,MATCH($C16,'hp (pSv cm2)'!$A$2:$A$52,1)))*(INDEX('hp (pSv cm2)'!$B$2:$B$52,MATCH($C16,'hp (pSv cm2)'!$A$2:$A$52,1)+1)-INDEX('hp (pSv cm2)'!$B$2:$B$52,MATCH($C16,'hp (pSv cm2)'!$A$2:$A$52,1)))/(INDEX('hp (pSv cm2)'!$A$2:$A$52,MATCH($C16,'hp (pSv cm2)'!$A$2:$A$52,1)+1)-INDEX('hp (pSv cm2)'!$A$2:$A$52,MATCH($C16,'hp (pSv cm2)'!$A$2:$A$52,1))),$C16*'hp (pSv cm2)'!$B$2/'hp (pSv cm2)'!$A$2)</f>
        <v>1.3697398000000001</v>
      </c>
      <c r="G16" s="67">
        <f t="shared" si="1"/>
        <v>7.9581882380000012E-4</v>
      </c>
      <c r="H16" s="83">
        <f>_xlfn.IFNA(0.997*(INDEX('Mass attenuation coefficients'!$B$2:$B$37,MATCH($C16,'Mass attenuation coefficients'!$A$2:$A$37,1))+($C16-INDEX('Mass attenuation coefficients'!$A$2:$A$37,MATCH($C16,'Mass attenuation coefficients'!$A$2:$A$37,1)))*(INDEX('Mass attenuation coefficients'!$B$2:$B$37,MATCH($C16,'Mass attenuation coefficients'!$A$2:$A$37,1)+1)-INDEX('Mass attenuation coefficients'!$B$2:$B$37,MATCH($C16,'Mass attenuation coefficients'!$A$2:$A$37,1)))/(INDEX('Mass attenuation coefficients'!$A$2:$A$37,MATCH($C16,'Mass attenuation coefficients'!$A$2:$A$37,1)+1)-INDEX('Mass attenuation coefficients'!$A$2:$A$37,MATCH($C16,'Mass attenuation coefficients'!$A$2:$A$37,1)))),0.997*$C16*'Mass attenuation coefficients'!$B$2/'Mass attenuation coefficients'!$A$2)</f>
        <v>0.123289386896</v>
      </c>
      <c r="I16" s="83">
        <f>_xlfn.IFNA(INDEX('Shultis Faw'!$C$2:$C$26,MATCH($C16,'Shultis Faw'!$A$2:$A$26,1))+($C16-INDEX('Shultis Faw'!$A$2:$A$26,MATCH($C16,'Shultis Faw'!$A$2:$A$26,1)))*(INDEX('Shultis Faw'!$C$2:$C$26,MATCH($C16,'Shultis Faw'!$A$2:$A$26,1)+1)-INDEX('Shultis Faw'!$C$2:$C$26,MATCH($C16,'Shultis Faw'!$A$2:$A$26,1)))/(INDEX('Shultis Faw'!$A$2:$A$26,MATCH($C16,'Shultis Faw'!$A$2:$A$26,1)+1)-INDEX('Shultis Faw'!$A$2:$A$26,MATCH($C16,'Shultis Faw'!$A$2:$A$26,1))),$C16*'Shultis Faw'!$C$2/'Shultis Faw'!$A$2)</f>
        <v>3.0734611599999999</v>
      </c>
      <c r="J16" s="83">
        <f>_xlfn.IFNA(INDEX('Shultis Faw'!$D$2:$D$26,MATCH($C16,'Shultis Faw'!$A$2:$A$26,1))+($C16-INDEX('Shultis Faw'!$A$2:$A$26,MATCH($C16,'Shultis Faw'!$A$2:$A$26,1)))*(INDEX('Shultis Faw'!$D$2:$D$26,MATCH($C16,'Shultis Faw'!$A$2:$A$26,1)+1)-INDEX('Shultis Faw'!$D$2:$D$26,MATCH($C16,'Shultis Faw'!$A$2:$A$26,1)))/(INDEX('Shultis Faw'!$A$2:$A$26,MATCH($C16,'Shultis Faw'!$A$2:$A$26,1)+1)-INDEX('Shultis Faw'!$A$2:$A$26,MATCH($C16,'Shultis Faw'!$A$2:$A$26,1))),$C16*'Shultis Faw'!$D$2/'Shultis Faw'!$A$2)</f>
        <v>2.05830264</v>
      </c>
      <c r="K16" s="83">
        <f>_xlfn.IFNA(INDEX('Shultis Faw'!$B$2:$B$26,MATCH($C16,'Shultis Faw'!$A$2:$A$26,1))+($C16-INDEX('Shultis Faw'!$A$2:$A$26,MATCH($C16,'Shultis Faw'!$A$2:$A$26,1)))*(INDEX('Shultis Faw'!$B$2:$B$26,MATCH($C16,'Shultis Faw'!$A$2:$A$26,1)+1)-INDEX('Shultis Faw'!$B$2:$B$26,MATCH($C16,'Shultis Faw'!$A$2:$A$26,1)))/(INDEX('Shultis Faw'!$A$2:$A$26,MATCH($C16,'Shultis Faw'!$A$2:$A$26,1)+1)-INDEX('Shultis Faw'!$A$2:$A$26,MATCH($C16,'Shultis Faw'!$A$2:$A$26,1))),$C16*'Shultis Faw'!$B$2/'Shultis Faw'!$A$2)</f>
        <v>-0.16730023999999999</v>
      </c>
      <c r="L16" s="83">
        <f>_xlfn.IFNA(INDEX('Shultis Faw'!$E$2:$E$26,MATCH($C16,'Shultis Faw'!$A$2:$A$26,1))+($C16-INDEX('Shultis Faw'!$A$2:$A$26,MATCH($C16,'Shultis Faw'!$A$2:$A$26,1)))*(INDEX('Shultis Faw'!$E$2:$E$26,MATCH($C16,'Shultis Faw'!$A$2:$A$26,1)+1)-INDEX('Shultis Faw'!$E$2:$E$26,MATCH($C16,'Shultis Faw'!$A$2:$A$26,1)))/(INDEX('Shultis Faw'!$A$2:$A$26,MATCH($C16,'Shultis Faw'!$A$2:$A$26,1)+1)-INDEX('Shultis Faw'!$A$2:$A$26,MATCH($C16,'Shultis Faw'!$A$2:$A$26,1))),$C16*'Shultis Faw'!$E$2/'Shultis Faw'!$A$2)</f>
        <v>6.8772738E-2</v>
      </c>
      <c r="M16" s="83">
        <f>_xlfn.IFNA(INDEX('Shultis Faw'!$F$2:$F$26,MATCH($C16,'Shultis Faw'!$A$2:$A$26,1))+($C16-INDEX('Shultis Faw'!$A$2:$A$26,MATCH($C16,'Shultis Faw'!$A$2:$A$26,1)))*(INDEX('Shultis Faw'!$F$2:$F$26,MATCH($C16,'Shultis Faw'!$A$2:$A$26,1)+1)-INDEX('Shultis Faw'!$F$2:$F$26,MATCH($C16,'Shultis Faw'!$A$2:$A$26,1)))/(INDEX('Shultis Faw'!$A$2:$A$26,MATCH($C16,'Shultis Faw'!$A$2:$A$26,1)+1)-INDEX('Shultis Faw'!$A$2:$A$26,MATCH($C16,'Shultis Faw'!$A$2:$A$26,1))),$C16*'Shultis Faw'!$F$2/'Shultis Faw'!$A$2)</f>
        <v>14.2897558</v>
      </c>
      <c r="N16" s="83">
        <f>J16*(H16*'Externe blootstelling'!$D$23/2)^K16+L16*(TANH(((H16*'Externe blootstelling'!$D$23)/(2*M16))-2)-TANH(-2))/(1-TANH(-2))</f>
        <v>1.8574717905354308</v>
      </c>
      <c r="O16" s="83">
        <f>IF(N16=1,1+(I16-1)*H16*'Externe blootstelling'!$D$23/2,1+(I16-1)*(N16^(H16*'Externe blootstelling'!$D$23/2)-1)/(N16-1))</f>
        <v>6.18173801310577</v>
      </c>
      <c r="P16" s="67">
        <f>G16*EXP(-H16*'Externe blootstelling'!$D$23/2)*O16</f>
        <v>7.7404515527120909E-4</v>
      </c>
      <c r="Q16" s="68"/>
    </row>
    <row r="17" spans="1:17" x14ac:dyDescent="0.2">
      <c r="A17" s="217"/>
      <c r="B17" s="64" t="s">
        <v>103</v>
      </c>
      <c r="C17" s="66">
        <v>0.28430499999999997</v>
      </c>
      <c r="D17" s="66">
        <f t="shared" si="0"/>
        <v>4.5488799999999999E-14</v>
      </c>
      <c r="E17" s="66">
        <v>6.1399999999999996E-2</v>
      </c>
      <c r="F17" s="66">
        <f>_xlfn.IFNA(INDEX('hp (pSv cm2)'!$B$2:$B$52,MATCH($C17,'hp (pSv cm2)'!$A$2:$A$52,1))+($C17-INDEX('hp (pSv cm2)'!$A$2:$A$52,MATCH($C17,'hp (pSv cm2)'!$A$2:$A$52,1)))*(INDEX('hp (pSv cm2)'!$B$2:$B$52,MATCH($C17,'hp (pSv cm2)'!$A$2:$A$52,1)+1)-INDEX('hp (pSv cm2)'!$B$2:$B$52,MATCH($C17,'hp (pSv cm2)'!$A$2:$A$52,1)))/(INDEX('hp (pSv cm2)'!$A$2:$A$52,MATCH($C17,'hp (pSv cm2)'!$A$2:$A$52,1)+1)-INDEX('hp (pSv cm2)'!$A$2:$A$52,MATCH($C17,'hp (pSv cm2)'!$A$2:$A$52,1))),$C17*'hp (pSv cm2)'!$B$2/'hp (pSv cm2)'!$A$2)</f>
        <v>1.4299554999999999</v>
      </c>
      <c r="G17" s="67">
        <f t="shared" si="1"/>
        <v>8.7799267699999989E-2</v>
      </c>
      <c r="H17" s="83">
        <f>_xlfn.IFNA(0.997*(INDEX('Mass attenuation coefficients'!$B$2:$B$37,MATCH($C17,'Mass attenuation coefficients'!$A$2:$A$37,1))+($C17-INDEX('Mass attenuation coefficients'!$A$2:$A$37,MATCH($C17,'Mass attenuation coefficients'!$A$2:$A$37,1)))*(INDEX('Mass attenuation coefficients'!$B$2:$B$37,MATCH($C17,'Mass attenuation coefficients'!$A$2:$A$37,1)+1)-INDEX('Mass attenuation coefficients'!$B$2:$B$37,MATCH($C17,'Mass attenuation coefficients'!$A$2:$A$37,1)))/(INDEX('Mass attenuation coefficients'!$A$2:$A$37,MATCH($C17,'Mass attenuation coefficients'!$A$2:$A$37,1)+1)-INDEX('Mass attenuation coefficients'!$A$2:$A$37,MATCH($C17,'Mass attenuation coefficients'!$A$2:$A$37,1)))),0.997*$C17*'Mass attenuation coefficients'!$B$2/'Mass attenuation coefficients'!$A$2)</f>
        <v>0.12112341636</v>
      </c>
      <c r="I17" s="83">
        <f>_xlfn.IFNA(INDEX('Shultis Faw'!$C$2:$C$26,MATCH($C17,'Shultis Faw'!$A$2:$A$26,1))+($C17-INDEX('Shultis Faw'!$A$2:$A$26,MATCH($C17,'Shultis Faw'!$A$2:$A$26,1)))*(INDEX('Shultis Faw'!$C$2:$C$26,MATCH($C17,'Shultis Faw'!$A$2:$A$26,1)+1)-INDEX('Shultis Faw'!$C$2:$C$26,MATCH($C17,'Shultis Faw'!$A$2:$A$26,1)))/(INDEX('Shultis Faw'!$A$2:$A$26,MATCH($C17,'Shultis Faw'!$A$2:$A$26,1)+1)-INDEX('Shultis Faw'!$A$2:$A$26,MATCH($C17,'Shultis Faw'!$A$2:$A$26,1))),$C17*'Shultis Faw'!$C$2/'Shultis Faw'!$A$2)</f>
        <v>3.0075780999999999</v>
      </c>
      <c r="J17" s="83">
        <f>_xlfn.IFNA(INDEX('Shultis Faw'!$D$2:$D$26,MATCH($C17,'Shultis Faw'!$A$2:$A$26,1))+($C17-INDEX('Shultis Faw'!$A$2:$A$26,MATCH($C17,'Shultis Faw'!$A$2:$A$26,1)))*(INDEX('Shultis Faw'!$D$2:$D$26,MATCH($C17,'Shultis Faw'!$A$2:$A$26,1)+1)-INDEX('Shultis Faw'!$D$2:$D$26,MATCH($C17,'Shultis Faw'!$A$2:$A$26,1)))/(INDEX('Shultis Faw'!$A$2:$A$26,MATCH($C17,'Shultis Faw'!$A$2:$A$26,1)+1)-INDEX('Shultis Faw'!$A$2:$A$26,MATCH($C17,'Shultis Faw'!$A$2:$A$26,1))),$C17*'Shultis Faw'!$D$2/'Shultis Faw'!$A$2)</f>
        <v>2.0427173999999999</v>
      </c>
      <c r="K17" s="83">
        <f>_xlfn.IFNA(INDEX('Shultis Faw'!$B$2:$B$26,MATCH($C17,'Shultis Faw'!$A$2:$A$26,1))+($C17-INDEX('Shultis Faw'!$A$2:$A$26,MATCH($C17,'Shultis Faw'!$A$2:$A$26,1)))*(INDEX('Shultis Faw'!$B$2:$B$26,MATCH($C17,'Shultis Faw'!$A$2:$A$26,1)+1)-INDEX('Shultis Faw'!$B$2:$B$26,MATCH($C17,'Shultis Faw'!$A$2:$A$26,1)))/(INDEX('Shultis Faw'!$A$2:$A$26,MATCH($C17,'Shultis Faw'!$A$2:$A$26,1)+1)-INDEX('Shultis Faw'!$A$2:$A$26,MATCH($C17,'Shultis Faw'!$A$2:$A$26,1))),$C17*'Shultis Faw'!$B$2/'Shultis Faw'!$A$2)</f>
        <v>-0.16588340000000001</v>
      </c>
      <c r="L17" s="83">
        <f>_xlfn.IFNA(INDEX('Shultis Faw'!$E$2:$E$26,MATCH($C17,'Shultis Faw'!$A$2:$A$26,1))+($C17-INDEX('Shultis Faw'!$A$2:$A$26,MATCH($C17,'Shultis Faw'!$A$2:$A$26,1)))*(INDEX('Shultis Faw'!$E$2:$E$26,MATCH($C17,'Shultis Faw'!$A$2:$A$26,1)+1)-INDEX('Shultis Faw'!$E$2:$E$26,MATCH($C17,'Shultis Faw'!$A$2:$A$26,1)))/(INDEX('Shultis Faw'!$A$2:$A$26,MATCH($C17,'Shultis Faw'!$A$2:$A$26,1)+1)-INDEX('Shultis Faw'!$A$2:$A$26,MATCH($C17,'Shultis Faw'!$A$2:$A$26,1))),$C17*'Shultis Faw'!$E$2/'Shultis Faw'!$A$2)</f>
        <v>6.7367705E-2</v>
      </c>
      <c r="M17" s="83">
        <f>_xlfn.IFNA(INDEX('Shultis Faw'!$F$2:$F$26,MATCH($C17,'Shultis Faw'!$A$2:$A$26,1))+($C17-INDEX('Shultis Faw'!$A$2:$A$26,MATCH($C17,'Shultis Faw'!$A$2:$A$26,1)))*(INDEX('Shultis Faw'!$F$2:$F$26,MATCH($C17,'Shultis Faw'!$A$2:$A$26,1)+1)-INDEX('Shultis Faw'!$F$2:$F$26,MATCH($C17,'Shultis Faw'!$A$2:$A$26,1)))/(INDEX('Shultis Faw'!$A$2:$A$26,MATCH($C17,'Shultis Faw'!$A$2:$A$26,1)+1)-INDEX('Shultis Faw'!$A$2:$A$26,MATCH($C17,'Shultis Faw'!$A$2:$A$26,1))),$C17*'Shultis Faw'!$F$2/'Shultis Faw'!$A$2)</f>
        <v>14.255515500000001</v>
      </c>
      <c r="N17" s="83">
        <f>J17*(H17*'Externe blootstelling'!$D$23/2)^K17+L17*(TANH(((H17*'Externe blootstelling'!$D$23)/(2*M17))-2)-TANH(-2))/(1-TANH(-2))</f>
        <v>1.8504342267501943</v>
      </c>
      <c r="O17" s="83">
        <f>IF(N17=1,1+(I17-1)*H17*'Externe blootstelling'!$D$23/2,1+(I17-1)*(N17^(H17*'Externe blootstelling'!$D$23/2)-1)/(N17-1))</f>
        <v>5.860862203479952</v>
      </c>
      <c r="P17" s="67">
        <f>G17*EXP(-H17*'Externe blootstelling'!$D$23/2)*O17</f>
        <v>8.363805677803951E-2</v>
      </c>
      <c r="Q17" s="68"/>
    </row>
    <row r="18" spans="1:17" x14ac:dyDescent="0.2">
      <c r="A18" s="217"/>
      <c r="B18" s="64" t="s">
        <v>103</v>
      </c>
      <c r="C18" s="66">
        <v>0.29580000000000001</v>
      </c>
      <c r="D18" s="66">
        <f t="shared" si="0"/>
        <v>4.7327999999999999E-14</v>
      </c>
      <c r="E18" s="66">
        <v>1.1999999999999999E-5</v>
      </c>
      <c r="F18" s="66">
        <f>_xlfn.IFNA(INDEX('hp (pSv cm2)'!$B$2:$B$52,MATCH($C18,'hp (pSv cm2)'!$A$2:$A$52,1))+($C18-INDEX('hp (pSv cm2)'!$A$2:$A$52,MATCH($C18,'hp (pSv cm2)'!$A$2:$A$52,1)))*(INDEX('hp (pSv cm2)'!$B$2:$B$52,MATCH($C18,'hp (pSv cm2)'!$A$2:$A$52,1)+1)-INDEX('hp (pSv cm2)'!$B$2:$B$52,MATCH($C18,'hp (pSv cm2)'!$A$2:$A$52,1)))/(INDEX('hp (pSv cm2)'!$A$2:$A$52,MATCH($C18,'hp (pSv cm2)'!$A$2:$A$52,1)+1)-INDEX('hp (pSv cm2)'!$A$2:$A$52,MATCH($C18,'hp (pSv cm2)'!$A$2:$A$52,1))),$C18*'hp (pSv cm2)'!$B$2/'hp (pSv cm2)'!$A$2)</f>
        <v>1.48858</v>
      </c>
      <c r="G18" s="67">
        <f t="shared" si="1"/>
        <v>1.7862959999999999E-5</v>
      </c>
      <c r="H18" s="83">
        <f>_xlfn.IFNA(0.997*(INDEX('Mass attenuation coefficients'!$B$2:$B$37,MATCH($C18,'Mass attenuation coefficients'!$A$2:$A$37,1))+($C18-INDEX('Mass attenuation coefficients'!$A$2:$A$37,MATCH($C18,'Mass attenuation coefficients'!$A$2:$A$37,1)))*(INDEX('Mass attenuation coefficients'!$B$2:$B$37,MATCH($C18,'Mass attenuation coefficients'!$A$2:$A$37,1)+1)-INDEX('Mass attenuation coefficients'!$B$2:$B$37,MATCH($C18,'Mass attenuation coefficients'!$A$2:$A$37,1)))/(INDEX('Mass attenuation coefficients'!$A$2:$A$37,MATCH($C18,'Mass attenuation coefficients'!$A$2:$A$37,1)+1)-INDEX('Mass attenuation coefficients'!$A$2:$A$37,MATCH($C18,'Mass attenuation coefficients'!$A$2:$A$37,1)))),0.997*$C18*'Mass attenuation coefficients'!$B$2/'Mass attenuation coefficients'!$A$2)</f>
        <v>0.11901468160000001</v>
      </c>
      <c r="I18" s="83">
        <f>_xlfn.IFNA(INDEX('Shultis Faw'!$C$2:$C$26,MATCH($C18,'Shultis Faw'!$A$2:$A$26,1))+($C18-INDEX('Shultis Faw'!$A$2:$A$26,MATCH($C18,'Shultis Faw'!$A$2:$A$26,1)))*(INDEX('Shultis Faw'!$C$2:$C$26,MATCH($C18,'Shultis Faw'!$A$2:$A$26,1)+1)-INDEX('Shultis Faw'!$C$2:$C$26,MATCH($C18,'Shultis Faw'!$A$2:$A$26,1)))/(INDEX('Shultis Faw'!$A$2:$A$26,MATCH($C18,'Shultis Faw'!$A$2:$A$26,1)+1)-INDEX('Shultis Faw'!$A$2:$A$26,MATCH($C18,'Shultis Faw'!$A$2:$A$26,1))),$C18*'Shultis Faw'!$C$2/'Shultis Faw'!$A$2)</f>
        <v>2.9434359999999997</v>
      </c>
      <c r="J18" s="83">
        <f>_xlfn.IFNA(INDEX('Shultis Faw'!$D$2:$D$26,MATCH($C18,'Shultis Faw'!$A$2:$A$26,1))+($C18-INDEX('Shultis Faw'!$A$2:$A$26,MATCH($C18,'Shultis Faw'!$A$2:$A$26,1)))*(INDEX('Shultis Faw'!$D$2:$D$26,MATCH($C18,'Shultis Faw'!$A$2:$A$26,1)+1)-INDEX('Shultis Faw'!$D$2:$D$26,MATCH($C18,'Shultis Faw'!$A$2:$A$26,1)))/(INDEX('Shultis Faw'!$A$2:$A$26,MATCH($C18,'Shultis Faw'!$A$2:$A$26,1)+1)-INDEX('Shultis Faw'!$A$2:$A$26,MATCH($C18,'Shultis Faw'!$A$2:$A$26,1))),$C18*'Shultis Faw'!$D$2/'Shultis Faw'!$A$2)</f>
        <v>2.0275439999999998</v>
      </c>
      <c r="K18" s="83">
        <f>_xlfn.IFNA(INDEX('Shultis Faw'!$B$2:$B$26,MATCH($C18,'Shultis Faw'!$A$2:$A$26,1))+($C18-INDEX('Shultis Faw'!$A$2:$A$26,MATCH($C18,'Shultis Faw'!$A$2:$A$26,1)))*(INDEX('Shultis Faw'!$B$2:$B$26,MATCH($C18,'Shultis Faw'!$A$2:$A$26,1)+1)-INDEX('Shultis Faw'!$B$2:$B$26,MATCH($C18,'Shultis Faw'!$A$2:$A$26,1)))/(INDEX('Shultis Faw'!$A$2:$A$26,MATCH($C18,'Shultis Faw'!$A$2:$A$26,1)+1)-INDEX('Shultis Faw'!$A$2:$A$26,MATCH($C18,'Shultis Faw'!$A$2:$A$26,1))),$C18*'Shultis Faw'!$B$2/'Shultis Faw'!$A$2)</f>
        <v>-0.16450400000000001</v>
      </c>
      <c r="L18" s="83">
        <f>_xlfn.IFNA(INDEX('Shultis Faw'!$E$2:$E$26,MATCH($C18,'Shultis Faw'!$A$2:$A$26,1))+($C18-INDEX('Shultis Faw'!$A$2:$A$26,MATCH($C18,'Shultis Faw'!$A$2:$A$26,1)))*(INDEX('Shultis Faw'!$E$2:$E$26,MATCH($C18,'Shultis Faw'!$A$2:$A$26,1)+1)-INDEX('Shultis Faw'!$E$2:$E$26,MATCH($C18,'Shultis Faw'!$A$2:$A$26,1)))/(INDEX('Shultis Faw'!$A$2:$A$26,MATCH($C18,'Shultis Faw'!$A$2:$A$26,1)+1)-INDEX('Shultis Faw'!$A$2:$A$26,MATCH($C18,'Shultis Faw'!$A$2:$A$26,1))),$C18*'Shultis Faw'!$E$2/'Shultis Faw'!$A$2)</f>
        <v>6.5999799999999997E-2</v>
      </c>
      <c r="M18" s="83">
        <f>_xlfn.IFNA(INDEX('Shultis Faw'!$F$2:$F$26,MATCH($C18,'Shultis Faw'!$A$2:$A$26,1))+($C18-INDEX('Shultis Faw'!$A$2:$A$26,MATCH($C18,'Shultis Faw'!$A$2:$A$26,1)))*(INDEX('Shultis Faw'!$F$2:$F$26,MATCH($C18,'Shultis Faw'!$A$2:$A$26,1)+1)-INDEX('Shultis Faw'!$F$2:$F$26,MATCH($C18,'Shultis Faw'!$A$2:$A$26,1)))/(INDEX('Shultis Faw'!$A$2:$A$26,MATCH($C18,'Shultis Faw'!$A$2:$A$26,1)+1)-INDEX('Shultis Faw'!$A$2:$A$26,MATCH($C18,'Shultis Faw'!$A$2:$A$26,1))),$C18*'Shultis Faw'!$F$2/'Shultis Faw'!$A$2)</f>
        <v>14.222180000000002</v>
      </c>
      <c r="N18" s="83">
        <f>J18*(H18*'Externe blootstelling'!$D$23/2)^K18+L18*(TANH(((H18*'Externe blootstelling'!$D$23)/(2*M18))-2)-TANH(-2))/(1-TANH(-2))</f>
        <v>1.8435095213568862</v>
      </c>
      <c r="O18" s="83">
        <f>IF(N18=1,1+(I18-1)*H18*'Externe blootstelling'!$D$23/2,1+(I18-1)*(N18^(H18*'Externe blootstelling'!$D$23/2)-1)/(N18-1))</f>
        <v>5.5622010035526639</v>
      </c>
      <c r="P18" s="67">
        <f>G18*EXP(-H18*'Externe blootstelling'!$D$23/2)*O18</f>
        <v>1.6668204209517349E-5</v>
      </c>
      <c r="Q18" s="68"/>
    </row>
    <row r="19" spans="1:17" x14ac:dyDescent="0.2">
      <c r="A19" s="217"/>
      <c r="B19" s="64" t="s">
        <v>103</v>
      </c>
      <c r="C19" s="66">
        <v>0.3024</v>
      </c>
      <c r="D19" s="66">
        <f t="shared" si="0"/>
        <v>4.8383999999999997E-14</v>
      </c>
      <c r="E19" s="66">
        <v>4.6E-5</v>
      </c>
      <c r="F19" s="66">
        <f>_xlfn.IFNA(INDEX('hp (pSv cm2)'!$B$2:$B$52,MATCH($C19,'hp (pSv cm2)'!$A$2:$A$52,1))+($C19-INDEX('hp (pSv cm2)'!$A$2:$A$52,MATCH($C19,'hp (pSv cm2)'!$A$2:$A$52,1)))*(INDEX('hp (pSv cm2)'!$B$2:$B$52,MATCH($C19,'hp (pSv cm2)'!$A$2:$A$52,1)+1)-INDEX('hp (pSv cm2)'!$B$2:$B$52,MATCH($C19,'hp (pSv cm2)'!$A$2:$A$52,1)))/(INDEX('hp (pSv cm2)'!$A$2:$A$52,MATCH($C19,'hp (pSv cm2)'!$A$2:$A$52,1)+1)-INDEX('hp (pSv cm2)'!$A$2:$A$52,MATCH($C19,'hp (pSv cm2)'!$A$2:$A$52,1))),$C19*'hp (pSv cm2)'!$B$2/'hp (pSv cm2)'!$A$2)</f>
        <v>1.52176</v>
      </c>
      <c r="G19" s="67">
        <f t="shared" si="1"/>
        <v>7.0000960000000007E-5</v>
      </c>
      <c r="H19" s="83">
        <f>_xlfn.IFNA(0.997*(INDEX('Mass attenuation coefficients'!$B$2:$B$37,MATCH($C19,'Mass attenuation coefficients'!$A$2:$A$37,1))+($C19-INDEX('Mass attenuation coefficients'!$A$2:$A$37,MATCH($C19,'Mass attenuation coefficients'!$A$2:$A$37,1)))*(INDEX('Mass attenuation coefficients'!$B$2:$B$37,MATCH($C19,'Mass attenuation coefficients'!$A$2:$A$37,1)+1)-INDEX('Mass attenuation coefficients'!$B$2:$B$37,MATCH($C19,'Mass attenuation coefficients'!$A$2:$A$37,1)))/(INDEX('Mass attenuation coefficients'!$A$2:$A$37,MATCH($C19,'Mass attenuation coefficients'!$A$2:$A$37,1)+1)-INDEX('Mass attenuation coefficients'!$A$2:$A$37,MATCH($C19,'Mass attenuation coefficients'!$A$2:$A$37,1)))),0.997*$C19*'Mass attenuation coefficients'!$B$2/'Mass attenuation coefficients'!$A$2)</f>
        <v>0.1179451</v>
      </c>
      <c r="I19" s="83">
        <f>_xlfn.IFNA(INDEX('Shultis Faw'!$C$2:$C$26,MATCH($C19,'Shultis Faw'!$A$2:$A$26,1))+($C19-INDEX('Shultis Faw'!$A$2:$A$26,MATCH($C19,'Shultis Faw'!$A$2:$A$26,1)))*(INDEX('Shultis Faw'!$C$2:$C$26,MATCH($C19,'Shultis Faw'!$A$2:$A$26,1)+1)-INDEX('Shultis Faw'!$C$2:$C$26,MATCH($C19,'Shultis Faw'!$A$2:$A$26,1)))/(INDEX('Shultis Faw'!$A$2:$A$26,MATCH($C19,'Shultis Faw'!$A$2:$A$26,1)+1)-INDEX('Shultis Faw'!$A$2:$A$26,MATCH($C19,'Shultis Faw'!$A$2:$A$26,1))),$C19*'Shultis Faw'!$C$2/'Shultis Faw'!$A$2)</f>
        <v>2.9137599999999999</v>
      </c>
      <c r="J19" s="83">
        <f>_xlfn.IFNA(INDEX('Shultis Faw'!$D$2:$D$26,MATCH($C19,'Shultis Faw'!$A$2:$A$26,1))+($C19-INDEX('Shultis Faw'!$A$2:$A$26,MATCH($C19,'Shultis Faw'!$A$2:$A$26,1)))*(INDEX('Shultis Faw'!$D$2:$D$26,MATCH($C19,'Shultis Faw'!$A$2:$A$26,1)+1)-INDEX('Shultis Faw'!$D$2:$D$26,MATCH($C19,'Shultis Faw'!$A$2:$A$26,1)))/(INDEX('Shultis Faw'!$A$2:$A$26,MATCH($C19,'Shultis Faw'!$A$2:$A$26,1)+1)-INDEX('Shultis Faw'!$A$2:$A$26,MATCH($C19,'Shultis Faw'!$A$2:$A$26,1))),$C19*'Shultis Faw'!$D$2/'Shultis Faw'!$A$2)</f>
        <v>2.01864</v>
      </c>
      <c r="K19" s="83">
        <f>_xlfn.IFNA(INDEX('Shultis Faw'!$B$2:$B$26,MATCH($C19,'Shultis Faw'!$A$2:$A$26,1))+($C19-INDEX('Shultis Faw'!$A$2:$A$26,MATCH($C19,'Shultis Faw'!$A$2:$A$26,1)))*(INDEX('Shultis Faw'!$B$2:$B$26,MATCH($C19,'Shultis Faw'!$A$2:$A$26,1)+1)-INDEX('Shultis Faw'!$B$2:$B$26,MATCH($C19,'Shultis Faw'!$A$2:$A$26,1)))/(INDEX('Shultis Faw'!$A$2:$A$26,MATCH($C19,'Shultis Faw'!$A$2:$A$26,1)+1)-INDEX('Shultis Faw'!$A$2:$A$26,MATCH($C19,'Shultis Faw'!$A$2:$A$26,1))),$C19*'Shultis Faw'!$B$2/'Shultis Faw'!$A$2)</f>
        <v>-0.16364000000000001</v>
      </c>
      <c r="L19" s="83">
        <f>_xlfn.IFNA(INDEX('Shultis Faw'!$E$2:$E$26,MATCH($C19,'Shultis Faw'!$A$2:$A$26,1))+($C19-INDEX('Shultis Faw'!$A$2:$A$26,MATCH($C19,'Shultis Faw'!$A$2:$A$26,1)))*(INDEX('Shultis Faw'!$E$2:$E$26,MATCH($C19,'Shultis Faw'!$A$2:$A$26,1)+1)-INDEX('Shultis Faw'!$E$2:$E$26,MATCH($C19,'Shultis Faw'!$A$2:$A$26,1)))/(INDEX('Shultis Faw'!$A$2:$A$26,MATCH($C19,'Shultis Faw'!$A$2:$A$26,1)+1)-INDEX('Shultis Faw'!$A$2:$A$26,MATCH($C19,'Shultis Faw'!$A$2:$A$26,1))),$C19*'Shultis Faw'!$E$2/'Shultis Faw'!$A$2)</f>
        <v>6.5355999999999997E-2</v>
      </c>
      <c r="M19" s="83">
        <f>_xlfn.IFNA(INDEX('Shultis Faw'!$F$2:$F$26,MATCH($C19,'Shultis Faw'!$A$2:$A$26,1))+($C19-INDEX('Shultis Faw'!$A$2:$A$26,MATCH($C19,'Shultis Faw'!$A$2:$A$26,1)))*(INDEX('Shultis Faw'!$F$2:$F$26,MATCH($C19,'Shultis Faw'!$A$2:$A$26,1)+1)-INDEX('Shultis Faw'!$F$2:$F$26,MATCH($C19,'Shultis Faw'!$A$2:$A$26,1)))/(INDEX('Shultis Faw'!$A$2:$A$26,MATCH($C19,'Shultis Faw'!$A$2:$A$26,1)+1)-INDEX('Shultis Faw'!$A$2:$A$26,MATCH($C19,'Shultis Faw'!$A$2:$A$26,1))),$C19*'Shultis Faw'!$F$2/'Shultis Faw'!$A$2)</f>
        <v>14.21072</v>
      </c>
      <c r="N19" s="83">
        <f>J19*(H19*'Externe blootstelling'!$D$23/2)^K19+L19*(TANH(((H19*'Externe blootstelling'!$D$23)/(2*M19))-2)-TANH(-2))/(1-TANH(-2))</f>
        <v>1.83904221113718</v>
      </c>
      <c r="O19" s="83">
        <f>IF(N19=1,1+(I19-1)*H19*'Externe blootstelling'!$D$23/2,1+(I19-1)*(N19^(H19*'Externe blootstelling'!$D$23/2)-1)/(N19-1))</f>
        <v>5.4212470943669189</v>
      </c>
      <c r="P19" s="67">
        <f>G19*EXP(-H19*'Externe blootstelling'!$D$23/2)*O19</f>
        <v>6.4693344972288933E-5</v>
      </c>
      <c r="Q19" s="68"/>
    </row>
    <row r="20" spans="1:17" x14ac:dyDescent="0.2">
      <c r="A20" s="217"/>
      <c r="B20" s="64" t="s">
        <v>103</v>
      </c>
      <c r="C20" s="66">
        <v>0.31808799999999998</v>
      </c>
      <c r="D20" s="66">
        <f t="shared" si="0"/>
        <v>5.0894079999999996E-14</v>
      </c>
      <c r="E20" s="66">
        <v>8.0699999999999999E-4</v>
      </c>
      <c r="F20" s="66">
        <f>_xlfn.IFNA(INDEX('hp (pSv cm2)'!$B$2:$B$52,MATCH($C20,'hp (pSv cm2)'!$A$2:$A$52,1))+($C20-INDEX('hp (pSv cm2)'!$A$2:$A$52,MATCH($C20,'hp (pSv cm2)'!$A$2:$A$52,1)))*(INDEX('hp (pSv cm2)'!$B$2:$B$52,MATCH($C20,'hp (pSv cm2)'!$A$2:$A$52,1)+1)-INDEX('hp (pSv cm2)'!$B$2:$B$52,MATCH($C20,'hp (pSv cm2)'!$A$2:$A$52,1)))/(INDEX('hp (pSv cm2)'!$A$2:$A$52,MATCH($C20,'hp (pSv cm2)'!$A$2:$A$52,1)+1)-INDEX('hp (pSv cm2)'!$A$2:$A$52,MATCH($C20,'hp (pSv cm2)'!$A$2:$A$52,1))),$C20*'hp (pSv cm2)'!$B$2/'hp (pSv cm2)'!$A$2)</f>
        <v>1.5986312</v>
      </c>
      <c r="G20" s="67">
        <f t="shared" si="1"/>
        <v>1.2900953783999999E-3</v>
      </c>
      <c r="H20" s="83">
        <f>_xlfn.IFNA(0.997*(INDEX('Mass attenuation coefficients'!$B$2:$B$37,MATCH($C20,'Mass attenuation coefficients'!$A$2:$A$37,1))+($C20-INDEX('Mass attenuation coefficients'!$A$2:$A$37,MATCH($C20,'Mass attenuation coefficients'!$A$2:$A$37,1)))*(INDEX('Mass attenuation coefficients'!$B$2:$B$37,MATCH($C20,'Mass attenuation coefficients'!$A$2:$A$37,1)+1)-INDEX('Mass attenuation coefficients'!$B$2:$B$37,MATCH($C20,'Mass attenuation coefficients'!$A$2:$A$37,1)))/(INDEX('Mass attenuation coefficients'!$A$2:$A$37,MATCH($C20,'Mass attenuation coefficients'!$A$2:$A$37,1)+1)-INDEX('Mass attenuation coefficients'!$A$2:$A$37,MATCH($C20,'Mass attenuation coefficients'!$A$2:$A$37,1)))),0.997*$C20*'Mass attenuation coefficients'!$B$2/'Mass attenuation coefficients'!$A$2)</f>
        <v>0.11598998299999999</v>
      </c>
      <c r="I20" s="83">
        <f>_xlfn.IFNA(INDEX('Shultis Faw'!$C$2:$C$26,MATCH($C20,'Shultis Faw'!$A$2:$A$26,1))+($C20-INDEX('Shultis Faw'!$A$2:$A$26,MATCH($C20,'Shultis Faw'!$A$2:$A$26,1)))*(INDEX('Shultis Faw'!$C$2:$C$26,MATCH($C20,'Shultis Faw'!$A$2:$A$26,1)+1)-INDEX('Shultis Faw'!$C$2:$C$26,MATCH($C20,'Shultis Faw'!$A$2:$A$26,1)))/(INDEX('Shultis Faw'!$A$2:$A$26,MATCH($C20,'Shultis Faw'!$A$2:$A$26,1)+1)-INDEX('Shultis Faw'!$A$2:$A$26,MATCH($C20,'Shultis Faw'!$A$2:$A$26,1))),$C20*'Shultis Faw'!$C$2/'Shultis Faw'!$A$2)</f>
        <v>2.8729711999999998</v>
      </c>
      <c r="J20" s="83">
        <f>_xlfn.IFNA(INDEX('Shultis Faw'!$D$2:$D$26,MATCH($C20,'Shultis Faw'!$A$2:$A$26,1))+($C20-INDEX('Shultis Faw'!$A$2:$A$26,MATCH($C20,'Shultis Faw'!$A$2:$A$26,1)))*(INDEX('Shultis Faw'!$D$2:$D$26,MATCH($C20,'Shultis Faw'!$A$2:$A$26,1)+1)-INDEX('Shultis Faw'!$D$2:$D$26,MATCH($C20,'Shultis Faw'!$A$2:$A$26,1)))/(INDEX('Shultis Faw'!$A$2:$A$26,MATCH($C20,'Shultis Faw'!$A$2:$A$26,1)+1)-INDEX('Shultis Faw'!$A$2:$A$26,MATCH($C20,'Shultis Faw'!$A$2:$A$26,1))),$C20*'Shultis Faw'!$D$2/'Shultis Faw'!$A$2)</f>
        <v>1.9966767999999999</v>
      </c>
      <c r="K20" s="83">
        <f>_xlfn.IFNA(INDEX('Shultis Faw'!$B$2:$B$26,MATCH($C20,'Shultis Faw'!$A$2:$A$26,1))+($C20-INDEX('Shultis Faw'!$A$2:$A$26,MATCH($C20,'Shultis Faw'!$A$2:$A$26,1)))*(INDEX('Shultis Faw'!$B$2:$B$26,MATCH($C20,'Shultis Faw'!$A$2:$A$26,1)+1)-INDEX('Shultis Faw'!$B$2:$B$26,MATCH($C20,'Shultis Faw'!$A$2:$A$26,1)))/(INDEX('Shultis Faw'!$A$2:$A$26,MATCH($C20,'Shultis Faw'!$A$2:$A$26,1)+1)-INDEX('Shultis Faw'!$A$2:$A$26,MATCH($C20,'Shultis Faw'!$A$2:$A$26,1))),$C20*'Shultis Faw'!$B$2/'Shultis Faw'!$A$2)</f>
        <v>-0.16128680000000001</v>
      </c>
      <c r="L20" s="83">
        <f>_xlfn.IFNA(INDEX('Shultis Faw'!$E$2:$E$26,MATCH($C20,'Shultis Faw'!$A$2:$A$26,1))+($C20-INDEX('Shultis Faw'!$A$2:$A$26,MATCH($C20,'Shultis Faw'!$A$2:$A$26,1)))*(INDEX('Shultis Faw'!$E$2:$E$26,MATCH($C20,'Shultis Faw'!$A$2:$A$26,1)+1)-INDEX('Shultis Faw'!$E$2:$E$26,MATCH($C20,'Shultis Faw'!$A$2:$A$26,1)))/(INDEX('Shultis Faw'!$A$2:$A$26,MATCH($C20,'Shultis Faw'!$A$2:$A$26,1)+1)-INDEX('Shultis Faw'!$A$2:$A$26,MATCH($C20,'Shultis Faw'!$A$2:$A$26,1))),$C20*'Shultis Faw'!$E$2/'Shultis Faw'!$A$2)</f>
        <v>6.4414720000000009E-2</v>
      </c>
      <c r="M20" s="83">
        <f>_xlfn.IFNA(INDEX('Shultis Faw'!$F$2:$F$26,MATCH($C20,'Shultis Faw'!$A$2:$A$26,1))+($C20-INDEX('Shultis Faw'!$A$2:$A$26,MATCH($C20,'Shultis Faw'!$A$2:$A$26,1)))*(INDEX('Shultis Faw'!$F$2:$F$26,MATCH($C20,'Shultis Faw'!$A$2:$A$26,1)+1)-INDEX('Shultis Faw'!$F$2:$F$26,MATCH($C20,'Shultis Faw'!$A$2:$A$26,1)))/(INDEX('Shultis Faw'!$A$2:$A$26,MATCH($C20,'Shultis Faw'!$A$2:$A$26,1)+1)-INDEX('Shultis Faw'!$A$2:$A$26,MATCH($C20,'Shultis Faw'!$A$2:$A$26,1))),$C20*'Shultis Faw'!$F$2/'Shultis Faw'!$A$2)</f>
        <v>14.2154264</v>
      </c>
      <c r="N20" s="83">
        <f>J20*(H20*'Externe blootstelling'!$D$23/2)^K20+L20*(TANH(((H20*'Externe blootstelling'!$D$23)/(2*M20))-2)-TANH(-2))/(1-TANH(-2))</f>
        <v>1.8263854437627922</v>
      </c>
      <c r="O20" s="83">
        <f>IF(N20=1,1+(I20-1)*H20*'Externe blootstelling'!$D$23/2,1+(I20-1)*(N20^(H20*'Externe blootstelling'!$D$23/2)-1)/(N20-1))</f>
        <v>5.1972199161650821</v>
      </c>
      <c r="P20" s="67">
        <f>G20*EXP(-H20*'Externe blootstelling'!$D$23/2)*O20</f>
        <v>1.1770252236400665E-3</v>
      </c>
      <c r="Q20" s="68"/>
    </row>
    <row r="21" spans="1:17" x14ac:dyDescent="0.2">
      <c r="A21" s="217"/>
      <c r="B21" s="64" t="s">
        <v>103</v>
      </c>
      <c r="C21" s="66">
        <v>0.32465100000000002</v>
      </c>
      <c r="D21" s="66">
        <f t="shared" si="0"/>
        <v>5.194416E-14</v>
      </c>
      <c r="E21" s="66">
        <v>2.4400000000000002E-4</v>
      </c>
      <c r="F21" s="66">
        <f>_xlfn.IFNA(INDEX('hp (pSv cm2)'!$B$2:$B$52,MATCH($C21,'hp (pSv cm2)'!$A$2:$A$52,1))+($C21-INDEX('hp (pSv cm2)'!$A$2:$A$52,MATCH($C21,'hp (pSv cm2)'!$A$2:$A$52,1)))*(INDEX('hp (pSv cm2)'!$B$2:$B$52,MATCH($C21,'hp (pSv cm2)'!$A$2:$A$52,1)+1)-INDEX('hp (pSv cm2)'!$B$2:$B$52,MATCH($C21,'hp (pSv cm2)'!$A$2:$A$52,1)))/(INDEX('hp (pSv cm2)'!$A$2:$A$52,MATCH($C21,'hp (pSv cm2)'!$A$2:$A$52,1)+1)-INDEX('hp (pSv cm2)'!$A$2:$A$52,MATCH($C21,'hp (pSv cm2)'!$A$2:$A$52,1))),$C21*'hp (pSv cm2)'!$B$2/'hp (pSv cm2)'!$A$2)</f>
        <v>1.6307899000000001</v>
      </c>
      <c r="G21" s="67">
        <f t="shared" si="1"/>
        <v>3.9791273560000007E-4</v>
      </c>
      <c r="H21" s="83">
        <f>_xlfn.IFNA(0.997*(INDEX('Mass attenuation coefficients'!$B$2:$B$37,MATCH($C21,'Mass attenuation coefficients'!$A$2:$A$37,1))+($C21-INDEX('Mass attenuation coefficients'!$A$2:$A$37,MATCH($C21,'Mass attenuation coefficients'!$A$2:$A$37,1)))*(INDEX('Mass attenuation coefficients'!$B$2:$B$37,MATCH($C21,'Mass attenuation coefficients'!$A$2:$A$37,1)+1)-INDEX('Mass attenuation coefficients'!$B$2:$B$37,MATCH($C21,'Mass attenuation coefficients'!$A$2:$A$37,1)))/(INDEX('Mass attenuation coefficients'!$A$2:$A$37,MATCH($C21,'Mass attenuation coefficients'!$A$2:$A$37,1)+1)-INDEX('Mass attenuation coefficients'!$A$2:$A$37,MATCH($C21,'Mass attenuation coefficients'!$A$2:$A$37,1)))),0.997*$C21*'Mass attenuation coefficients'!$B$2/'Mass attenuation coefficients'!$A$2)</f>
        <v>0.115172069125</v>
      </c>
      <c r="I21" s="83">
        <f>_xlfn.IFNA(INDEX('Shultis Faw'!$C$2:$C$26,MATCH($C21,'Shultis Faw'!$A$2:$A$26,1))+($C21-INDEX('Shultis Faw'!$A$2:$A$26,MATCH($C21,'Shultis Faw'!$A$2:$A$26,1)))*(INDEX('Shultis Faw'!$C$2:$C$26,MATCH($C21,'Shultis Faw'!$A$2:$A$26,1)+1)-INDEX('Shultis Faw'!$C$2:$C$26,MATCH($C21,'Shultis Faw'!$A$2:$A$26,1)))/(INDEX('Shultis Faw'!$A$2:$A$26,MATCH($C21,'Shultis Faw'!$A$2:$A$26,1)+1)-INDEX('Shultis Faw'!$A$2:$A$26,MATCH($C21,'Shultis Faw'!$A$2:$A$26,1))),$C21*'Shultis Faw'!$C$2/'Shultis Faw'!$A$2)</f>
        <v>2.8559074</v>
      </c>
      <c r="J21" s="83">
        <f>_xlfn.IFNA(INDEX('Shultis Faw'!$D$2:$D$26,MATCH($C21,'Shultis Faw'!$A$2:$A$26,1))+($C21-INDEX('Shultis Faw'!$A$2:$A$26,MATCH($C21,'Shultis Faw'!$A$2:$A$26,1)))*(INDEX('Shultis Faw'!$D$2:$D$26,MATCH($C21,'Shultis Faw'!$A$2:$A$26,1)+1)-INDEX('Shultis Faw'!$D$2:$D$26,MATCH($C21,'Shultis Faw'!$A$2:$A$26,1)))/(INDEX('Shultis Faw'!$A$2:$A$26,MATCH($C21,'Shultis Faw'!$A$2:$A$26,1)+1)-INDEX('Shultis Faw'!$A$2:$A$26,MATCH($C21,'Shultis Faw'!$A$2:$A$26,1))),$C21*'Shultis Faw'!$D$2/'Shultis Faw'!$A$2)</f>
        <v>1.9874885999999998</v>
      </c>
      <c r="K21" s="83">
        <f>_xlfn.IFNA(INDEX('Shultis Faw'!$B$2:$B$26,MATCH($C21,'Shultis Faw'!$A$2:$A$26,1))+($C21-INDEX('Shultis Faw'!$A$2:$A$26,MATCH($C21,'Shultis Faw'!$A$2:$A$26,1)))*(INDEX('Shultis Faw'!$B$2:$B$26,MATCH($C21,'Shultis Faw'!$A$2:$A$26,1)+1)-INDEX('Shultis Faw'!$B$2:$B$26,MATCH($C21,'Shultis Faw'!$A$2:$A$26,1)))/(INDEX('Shultis Faw'!$A$2:$A$26,MATCH($C21,'Shultis Faw'!$A$2:$A$26,1)+1)-INDEX('Shultis Faw'!$A$2:$A$26,MATCH($C21,'Shultis Faw'!$A$2:$A$26,1))),$C21*'Shultis Faw'!$B$2/'Shultis Faw'!$A$2)</f>
        <v>-0.16030235000000001</v>
      </c>
      <c r="L21" s="83">
        <f>_xlfn.IFNA(INDEX('Shultis Faw'!$E$2:$E$26,MATCH($C21,'Shultis Faw'!$A$2:$A$26,1))+($C21-INDEX('Shultis Faw'!$A$2:$A$26,MATCH($C21,'Shultis Faw'!$A$2:$A$26,1)))*(INDEX('Shultis Faw'!$E$2:$E$26,MATCH($C21,'Shultis Faw'!$A$2:$A$26,1)+1)-INDEX('Shultis Faw'!$E$2:$E$26,MATCH($C21,'Shultis Faw'!$A$2:$A$26,1)))/(INDEX('Shultis Faw'!$A$2:$A$26,MATCH($C21,'Shultis Faw'!$A$2:$A$26,1)+1)-INDEX('Shultis Faw'!$A$2:$A$26,MATCH($C21,'Shultis Faw'!$A$2:$A$26,1))),$C21*'Shultis Faw'!$E$2/'Shultis Faw'!$A$2)</f>
        <v>6.4020939999999998E-2</v>
      </c>
      <c r="M21" s="83">
        <f>_xlfn.IFNA(INDEX('Shultis Faw'!$F$2:$F$26,MATCH($C21,'Shultis Faw'!$A$2:$A$26,1))+($C21-INDEX('Shultis Faw'!$A$2:$A$26,MATCH($C21,'Shultis Faw'!$A$2:$A$26,1)))*(INDEX('Shultis Faw'!$F$2:$F$26,MATCH($C21,'Shultis Faw'!$A$2:$A$26,1)+1)-INDEX('Shultis Faw'!$F$2:$F$26,MATCH($C21,'Shultis Faw'!$A$2:$A$26,1)))/(INDEX('Shultis Faw'!$A$2:$A$26,MATCH($C21,'Shultis Faw'!$A$2:$A$26,1)+1)-INDEX('Shultis Faw'!$A$2:$A$26,MATCH($C21,'Shultis Faw'!$A$2:$A$26,1))),$C21*'Shultis Faw'!$F$2/'Shultis Faw'!$A$2)</f>
        <v>14.217395300000002</v>
      </c>
      <c r="N21" s="83">
        <f>J21*(H21*'Externe blootstelling'!$D$23/2)^K21+L21*(TANH(((H21*'Externe blootstelling'!$D$23)/(2*M21))-2)-TANH(-2))/(1-TANH(-2))</f>
        <v>1.8210333090608413</v>
      </c>
      <c r="O21" s="83">
        <f>IF(N21=1,1+(I21-1)*H21*'Externe blootstelling'!$D$23/2,1+(I21-1)*(N21^(H21*'Externe blootstelling'!$D$23/2)-1)/(N21-1))</f>
        <v>5.1062671445965861</v>
      </c>
      <c r="P21" s="67">
        <f>G21*EXP(-H21*'Externe blootstelling'!$D$23/2)*O21</f>
        <v>3.6108750470842762E-4</v>
      </c>
      <c r="Q21" s="68"/>
    </row>
    <row r="22" spans="1:17" x14ac:dyDescent="0.2">
      <c r="A22" s="217"/>
      <c r="B22" s="64" t="s">
        <v>103</v>
      </c>
      <c r="C22" s="66">
        <v>0.325789</v>
      </c>
      <c r="D22" s="66">
        <f t="shared" si="0"/>
        <v>5.2126239999999996E-14</v>
      </c>
      <c r="E22" s="66">
        <v>2.7400000000000002E-3</v>
      </c>
      <c r="F22" s="66">
        <f>_xlfn.IFNA(INDEX('hp (pSv cm2)'!$B$2:$B$52,MATCH($C22,'hp (pSv cm2)'!$A$2:$A$52,1))+($C22-INDEX('hp (pSv cm2)'!$A$2:$A$52,MATCH($C22,'hp (pSv cm2)'!$A$2:$A$52,1)))*(INDEX('hp (pSv cm2)'!$B$2:$B$52,MATCH($C22,'hp (pSv cm2)'!$A$2:$A$52,1)+1)-INDEX('hp (pSv cm2)'!$B$2:$B$52,MATCH($C22,'hp (pSv cm2)'!$A$2:$A$52,1)))/(INDEX('hp (pSv cm2)'!$A$2:$A$52,MATCH($C22,'hp (pSv cm2)'!$A$2:$A$52,1)+1)-INDEX('hp (pSv cm2)'!$A$2:$A$52,MATCH($C22,'hp (pSv cm2)'!$A$2:$A$52,1))),$C22*'hp (pSv cm2)'!$B$2/'hp (pSv cm2)'!$A$2)</f>
        <v>1.6363661</v>
      </c>
      <c r="G22" s="67">
        <f t="shared" si="1"/>
        <v>4.4836431140000002E-3</v>
      </c>
      <c r="H22" s="83">
        <f>_xlfn.IFNA(0.997*(INDEX('Mass attenuation coefficients'!$B$2:$B$37,MATCH($C22,'Mass attenuation coefficients'!$A$2:$A$37,1))+($C22-INDEX('Mass attenuation coefficients'!$A$2:$A$37,MATCH($C22,'Mass attenuation coefficients'!$A$2:$A$37,1)))*(INDEX('Mass attenuation coefficients'!$B$2:$B$37,MATCH($C22,'Mass attenuation coefficients'!$A$2:$A$37,1)+1)-INDEX('Mass attenuation coefficients'!$B$2:$B$37,MATCH($C22,'Mass attenuation coefficients'!$A$2:$A$37,1)))/(INDEX('Mass attenuation coefficients'!$A$2:$A$37,MATCH($C22,'Mass attenuation coefficients'!$A$2:$A$37,1)+1)-INDEX('Mass attenuation coefficients'!$A$2:$A$37,MATCH($C22,'Mass attenuation coefficients'!$A$2:$A$37,1)))),0.997*$C22*'Mass attenuation coefficients'!$B$2/'Mass attenuation coefficients'!$A$2)</f>
        <v>0.11503024587500001</v>
      </c>
      <c r="I22" s="83">
        <f>_xlfn.IFNA(INDEX('Shultis Faw'!$C$2:$C$26,MATCH($C22,'Shultis Faw'!$A$2:$A$26,1))+($C22-INDEX('Shultis Faw'!$A$2:$A$26,MATCH($C22,'Shultis Faw'!$A$2:$A$26,1)))*(INDEX('Shultis Faw'!$C$2:$C$26,MATCH($C22,'Shultis Faw'!$A$2:$A$26,1)+1)-INDEX('Shultis Faw'!$C$2:$C$26,MATCH($C22,'Shultis Faw'!$A$2:$A$26,1)))/(INDEX('Shultis Faw'!$A$2:$A$26,MATCH($C22,'Shultis Faw'!$A$2:$A$26,1)+1)-INDEX('Shultis Faw'!$A$2:$A$26,MATCH($C22,'Shultis Faw'!$A$2:$A$26,1))),$C22*'Shultis Faw'!$C$2/'Shultis Faw'!$A$2)</f>
        <v>2.8529485999999999</v>
      </c>
      <c r="J22" s="83">
        <f>_xlfn.IFNA(INDEX('Shultis Faw'!$D$2:$D$26,MATCH($C22,'Shultis Faw'!$A$2:$A$26,1))+($C22-INDEX('Shultis Faw'!$A$2:$A$26,MATCH($C22,'Shultis Faw'!$A$2:$A$26,1)))*(INDEX('Shultis Faw'!$D$2:$D$26,MATCH($C22,'Shultis Faw'!$A$2:$A$26,1)+1)-INDEX('Shultis Faw'!$D$2:$D$26,MATCH($C22,'Shultis Faw'!$A$2:$A$26,1)))/(INDEX('Shultis Faw'!$A$2:$A$26,MATCH($C22,'Shultis Faw'!$A$2:$A$26,1)+1)-INDEX('Shultis Faw'!$A$2:$A$26,MATCH($C22,'Shultis Faw'!$A$2:$A$26,1))),$C22*'Shultis Faw'!$D$2/'Shultis Faw'!$A$2)</f>
        <v>1.9858953999999998</v>
      </c>
      <c r="K22" s="83">
        <f>_xlfn.IFNA(INDEX('Shultis Faw'!$B$2:$B$26,MATCH($C22,'Shultis Faw'!$A$2:$A$26,1))+($C22-INDEX('Shultis Faw'!$A$2:$A$26,MATCH($C22,'Shultis Faw'!$A$2:$A$26,1)))*(INDEX('Shultis Faw'!$B$2:$B$26,MATCH($C22,'Shultis Faw'!$A$2:$A$26,1)+1)-INDEX('Shultis Faw'!$B$2:$B$26,MATCH($C22,'Shultis Faw'!$A$2:$A$26,1)))/(INDEX('Shultis Faw'!$A$2:$A$26,MATCH($C22,'Shultis Faw'!$A$2:$A$26,1)+1)-INDEX('Shultis Faw'!$A$2:$A$26,MATCH($C22,'Shultis Faw'!$A$2:$A$26,1))),$C22*'Shultis Faw'!$B$2/'Shultis Faw'!$A$2)</f>
        <v>-0.16013165000000001</v>
      </c>
      <c r="L22" s="83">
        <f>_xlfn.IFNA(INDEX('Shultis Faw'!$E$2:$E$26,MATCH($C22,'Shultis Faw'!$A$2:$A$26,1))+($C22-INDEX('Shultis Faw'!$A$2:$A$26,MATCH($C22,'Shultis Faw'!$A$2:$A$26,1)))*(INDEX('Shultis Faw'!$E$2:$E$26,MATCH($C22,'Shultis Faw'!$A$2:$A$26,1)+1)-INDEX('Shultis Faw'!$E$2:$E$26,MATCH($C22,'Shultis Faw'!$A$2:$A$26,1)))/(INDEX('Shultis Faw'!$A$2:$A$26,MATCH($C22,'Shultis Faw'!$A$2:$A$26,1)+1)-INDEX('Shultis Faw'!$A$2:$A$26,MATCH($C22,'Shultis Faw'!$A$2:$A$26,1))),$C22*'Shultis Faw'!$E$2/'Shultis Faw'!$A$2)</f>
        <v>6.3952659999999995E-2</v>
      </c>
      <c r="M22" s="83">
        <f>_xlfn.IFNA(INDEX('Shultis Faw'!$F$2:$F$26,MATCH($C22,'Shultis Faw'!$A$2:$A$26,1))+($C22-INDEX('Shultis Faw'!$A$2:$A$26,MATCH($C22,'Shultis Faw'!$A$2:$A$26,1)))*(INDEX('Shultis Faw'!$F$2:$F$26,MATCH($C22,'Shultis Faw'!$A$2:$A$26,1)+1)-INDEX('Shultis Faw'!$F$2:$F$26,MATCH($C22,'Shultis Faw'!$A$2:$A$26,1)))/(INDEX('Shultis Faw'!$A$2:$A$26,MATCH($C22,'Shultis Faw'!$A$2:$A$26,1)+1)-INDEX('Shultis Faw'!$A$2:$A$26,MATCH($C22,'Shultis Faw'!$A$2:$A$26,1))),$C22*'Shultis Faw'!$F$2/'Shultis Faw'!$A$2)</f>
        <v>14.217736700000001</v>
      </c>
      <c r="N22" s="83">
        <f>J22*(H22*'Externe blootstelling'!$D$23/2)^K22+L22*(TANH(((H22*'Externe blootstelling'!$D$23)/(2*M22))-2)-TANH(-2))/(1-TANH(-2))</f>
        <v>1.8201018300659362</v>
      </c>
      <c r="O22" s="83">
        <f>IF(N22=1,1+(I22-1)*H22*'Externe blootstelling'!$D$23/2,1+(I22-1)*(N22^(H22*'Externe blootstelling'!$D$23/2)-1)/(N22-1))</f>
        <v>5.0906592101879076</v>
      </c>
      <c r="P22" s="67">
        <f>G22*EXP(-H22*'Externe blootstelling'!$D$23/2)*O22</f>
        <v>4.0649016808164129E-3</v>
      </c>
      <c r="Q22" s="68"/>
    </row>
    <row r="23" spans="1:17" x14ac:dyDescent="0.2">
      <c r="A23" s="217"/>
      <c r="B23" s="64" t="s">
        <v>103</v>
      </c>
      <c r="C23" s="66">
        <v>0.3584</v>
      </c>
      <c r="D23" s="66">
        <f t="shared" si="0"/>
        <v>5.7343999999999998E-14</v>
      </c>
      <c r="E23" s="66">
        <v>1.7000000000000001E-4</v>
      </c>
      <c r="F23" s="66">
        <f>_xlfn.IFNA(INDEX('hp (pSv cm2)'!$B$2:$B$52,MATCH($C23,'hp (pSv cm2)'!$A$2:$A$52,1))+($C23-INDEX('hp (pSv cm2)'!$A$2:$A$52,MATCH($C23,'hp (pSv cm2)'!$A$2:$A$52,1)))*(INDEX('hp (pSv cm2)'!$B$2:$B$52,MATCH($C23,'hp (pSv cm2)'!$A$2:$A$52,1)+1)-INDEX('hp (pSv cm2)'!$B$2:$B$52,MATCH($C23,'hp (pSv cm2)'!$A$2:$A$52,1)))/(INDEX('hp (pSv cm2)'!$A$2:$A$52,MATCH($C23,'hp (pSv cm2)'!$A$2:$A$52,1)+1)-INDEX('hp (pSv cm2)'!$A$2:$A$52,MATCH($C23,'hp (pSv cm2)'!$A$2:$A$52,1))),$C23*'hp (pSv cm2)'!$B$2/'hp (pSv cm2)'!$A$2)</f>
        <v>1.79616</v>
      </c>
      <c r="G23" s="67">
        <f t="shared" si="1"/>
        <v>3.0534720000000004E-4</v>
      </c>
      <c r="H23" s="83">
        <f>_xlfn.IFNA(0.997*(INDEX('Mass attenuation coefficients'!$B$2:$B$37,MATCH($C23,'Mass attenuation coefficients'!$A$2:$A$37,1))+($C23-INDEX('Mass attenuation coefficients'!$A$2:$A$37,MATCH($C23,'Mass attenuation coefficients'!$A$2:$A$37,1)))*(INDEX('Mass attenuation coefficients'!$B$2:$B$37,MATCH($C23,'Mass attenuation coefficients'!$A$2:$A$37,1)+1)-INDEX('Mass attenuation coefficients'!$B$2:$B$37,MATCH($C23,'Mass attenuation coefficients'!$A$2:$A$37,1)))/(INDEX('Mass attenuation coefficients'!$A$2:$A$37,MATCH($C23,'Mass attenuation coefficients'!$A$2:$A$37,1)+1)-INDEX('Mass attenuation coefficients'!$A$2:$A$37,MATCH($C23,'Mass attenuation coefficients'!$A$2:$A$37,1)))),0.997*$C23*'Mass attenuation coefficients'!$B$2/'Mass attenuation coefficients'!$A$2)</f>
        <v>0.1109661</v>
      </c>
      <c r="I23" s="83">
        <f>_xlfn.IFNA(INDEX('Shultis Faw'!$C$2:$C$26,MATCH($C23,'Shultis Faw'!$A$2:$A$26,1))+($C23-INDEX('Shultis Faw'!$A$2:$A$26,MATCH($C23,'Shultis Faw'!$A$2:$A$26,1)))*(INDEX('Shultis Faw'!$C$2:$C$26,MATCH($C23,'Shultis Faw'!$A$2:$A$26,1)+1)-INDEX('Shultis Faw'!$C$2:$C$26,MATCH($C23,'Shultis Faw'!$A$2:$A$26,1)))/(INDEX('Shultis Faw'!$A$2:$A$26,MATCH($C23,'Shultis Faw'!$A$2:$A$26,1)+1)-INDEX('Shultis Faw'!$A$2:$A$26,MATCH($C23,'Shultis Faw'!$A$2:$A$26,1))),$C23*'Shultis Faw'!$C$2/'Shultis Faw'!$A$2)</f>
        <v>2.76816</v>
      </c>
      <c r="J23" s="83">
        <f>_xlfn.IFNA(INDEX('Shultis Faw'!$D$2:$D$26,MATCH($C23,'Shultis Faw'!$A$2:$A$26,1))+($C23-INDEX('Shultis Faw'!$A$2:$A$26,MATCH($C23,'Shultis Faw'!$A$2:$A$26,1)))*(INDEX('Shultis Faw'!$D$2:$D$26,MATCH($C23,'Shultis Faw'!$A$2:$A$26,1)+1)-INDEX('Shultis Faw'!$D$2:$D$26,MATCH($C23,'Shultis Faw'!$A$2:$A$26,1)))/(INDEX('Shultis Faw'!$A$2:$A$26,MATCH($C23,'Shultis Faw'!$A$2:$A$26,1)+1)-INDEX('Shultis Faw'!$A$2:$A$26,MATCH($C23,'Shultis Faw'!$A$2:$A$26,1))),$C23*'Shultis Faw'!$D$2/'Shultis Faw'!$A$2)</f>
        <v>1.94024</v>
      </c>
      <c r="K23" s="83">
        <f>_xlfn.IFNA(INDEX('Shultis Faw'!$B$2:$B$26,MATCH($C23,'Shultis Faw'!$A$2:$A$26,1))+($C23-INDEX('Shultis Faw'!$A$2:$A$26,MATCH($C23,'Shultis Faw'!$A$2:$A$26,1)))*(INDEX('Shultis Faw'!$B$2:$B$26,MATCH($C23,'Shultis Faw'!$A$2:$A$26,1)+1)-INDEX('Shultis Faw'!$B$2:$B$26,MATCH($C23,'Shultis Faw'!$A$2:$A$26,1)))/(INDEX('Shultis Faw'!$A$2:$A$26,MATCH($C23,'Shultis Faw'!$A$2:$A$26,1)+1)-INDEX('Shultis Faw'!$A$2:$A$26,MATCH($C23,'Shultis Faw'!$A$2:$A$26,1))),$C23*'Shultis Faw'!$B$2/'Shultis Faw'!$A$2)</f>
        <v>-0.15523999999999999</v>
      </c>
      <c r="L23" s="83">
        <f>_xlfn.IFNA(INDEX('Shultis Faw'!$E$2:$E$26,MATCH($C23,'Shultis Faw'!$A$2:$A$26,1))+($C23-INDEX('Shultis Faw'!$A$2:$A$26,MATCH($C23,'Shultis Faw'!$A$2:$A$26,1)))*(INDEX('Shultis Faw'!$E$2:$E$26,MATCH($C23,'Shultis Faw'!$A$2:$A$26,1)+1)-INDEX('Shultis Faw'!$E$2:$E$26,MATCH($C23,'Shultis Faw'!$A$2:$A$26,1)))/(INDEX('Shultis Faw'!$A$2:$A$26,MATCH($C23,'Shultis Faw'!$A$2:$A$26,1)+1)-INDEX('Shultis Faw'!$A$2:$A$26,MATCH($C23,'Shultis Faw'!$A$2:$A$26,1))),$C23*'Shultis Faw'!$E$2/'Shultis Faw'!$A$2)</f>
        <v>6.1996000000000002E-2</v>
      </c>
      <c r="M23" s="83">
        <f>_xlfn.IFNA(INDEX('Shultis Faw'!$F$2:$F$26,MATCH($C23,'Shultis Faw'!$A$2:$A$26,1))+($C23-INDEX('Shultis Faw'!$A$2:$A$26,MATCH($C23,'Shultis Faw'!$A$2:$A$26,1)))*(INDEX('Shultis Faw'!$F$2:$F$26,MATCH($C23,'Shultis Faw'!$A$2:$A$26,1)+1)-INDEX('Shultis Faw'!$F$2:$F$26,MATCH($C23,'Shultis Faw'!$A$2:$A$26,1)))/(INDEX('Shultis Faw'!$A$2:$A$26,MATCH($C23,'Shultis Faw'!$A$2:$A$26,1)+1)-INDEX('Shultis Faw'!$A$2:$A$26,MATCH($C23,'Shultis Faw'!$A$2:$A$26,1))),$C23*'Shultis Faw'!$F$2/'Shultis Faw'!$A$2)</f>
        <v>14.22752</v>
      </c>
      <c r="N23" s="83">
        <f>J23*(H23*'Externe blootstelling'!$D$23/2)^K23+L23*(TANH(((H23*'Externe blootstelling'!$D$23)/(2*M23))-2)-TANH(-2))/(1-TANH(-2))</f>
        <v>1.79297639959658</v>
      </c>
      <c r="O23" s="83">
        <f>IF(N23=1,1+(I23-1)*H23*'Externe blootstelling'!$D$23/2,1+(I23-1)*(N23^(H23*'Externe blootstelling'!$D$23/2)-1)/(N23-1))</f>
        <v>4.663190839219082</v>
      </c>
      <c r="P23" s="67">
        <f>G23*EXP(-H23*'Externe blootstelling'!$D$23/2)*O23</f>
        <v>2.6952413284789554E-4</v>
      </c>
      <c r="Q23" s="68"/>
    </row>
    <row r="24" spans="1:17" x14ac:dyDescent="0.2">
      <c r="A24" s="217"/>
      <c r="B24" s="64" t="s">
        <v>103</v>
      </c>
      <c r="C24" s="66">
        <v>0.36448900000000001</v>
      </c>
      <c r="D24" s="66">
        <f t="shared" si="0"/>
        <v>5.8318239999999999E-14</v>
      </c>
      <c r="E24" s="66">
        <v>0.81200000000000006</v>
      </c>
      <c r="F24" s="66">
        <f>_xlfn.IFNA(INDEX('hp (pSv cm2)'!$B$2:$B$52,MATCH($C24,'hp (pSv cm2)'!$A$2:$A$52,1))+($C24-INDEX('hp (pSv cm2)'!$A$2:$A$52,MATCH($C24,'hp (pSv cm2)'!$A$2:$A$52,1)))*(INDEX('hp (pSv cm2)'!$B$2:$B$52,MATCH($C24,'hp (pSv cm2)'!$A$2:$A$52,1)+1)-INDEX('hp (pSv cm2)'!$B$2:$B$52,MATCH($C24,'hp (pSv cm2)'!$A$2:$A$52,1)))/(INDEX('hp (pSv cm2)'!$A$2:$A$52,MATCH($C24,'hp (pSv cm2)'!$A$2:$A$52,1)+1)-INDEX('hp (pSv cm2)'!$A$2:$A$52,MATCH($C24,'hp (pSv cm2)'!$A$2:$A$52,1))),$C24*'hp (pSv cm2)'!$B$2/'hp (pSv cm2)'!$A$2)</f>
        <v>1.8259961</v>
      </c>
      <c r="G24" s="67">
        <f t="shared" si="1"/>
        <v>1.4827088332</v>
      </c>
      <c r="H24" s="83">
        <f>_xlfn.IFNA(0.997*(INDEX('Mass attenuation coefficients'!$B$2:$B$37,MATCH($C24,'Mass attenuation coefficients'!$A$2:$A$37,1))+($C24-INDEX('Mass attenuation coefficients'!$A$2:$A$37,MATCH($C24,'Mass attenuation coefficients'!$A$2:$A$37,1)))*(INDEX('Mass attenuation coefficients'!$B$2:$B$37,MATCH($C24,'Mass attenuation coefficients'!$A$2:$A$37,1)+1)-INDEX('Mass attenuation coefficients'!$B$2:$B$37,MATCH($C24,'Mass attenuation coefficients'!$A$2:$A$37,1)))/(INDEX('Mass attenuation coefficients'!$A$2:$A$37,MATCH($C24,'Mass attenuation coefficients'!$A$2:$A$37,1)+1)-INDEX('Mass attenuation coefficients'!$A$2:$A$37,MATCH($C24,'Mass attenuation coefficients'!$A$2:$A$37,1)))),0.997*$C24*'Mass attenuation coefficients'!$B$2/'Mass attenuation coefficients'!$A$2)</f>
        <v>0.11020725837499999</v>
      </c>
      <c r="I24" s="83">
        <f>_xlfn.IFNA(INDEX('Shultis Faw'!$C$2:$C$26,MATCH($C24,'Shultis Faw'!$A$2:$A$26,1))+($C24-INDEX('Shultis Faw'!$A$2:$A$26,MATCH($C24,'Shultis Faw'!$A$2:$A$26,1)))*(INDEX('Shultis Faw'!$C$2:$C$26,MATCH($C24,'Shultis Faw'!$A$2:$A$26,1)+1)-INDEX('Shultis Faw'!$C$2:$C$26,MATCH($C24,'Shultis Faw'!$A$2:$A$26,1)))/(INDEX('Shultis Faw'!$A$2:$A$26,MATCH($C24,'Shultis Faw'!$A$2:$A$26,1)+1)-INDEX('Shultis Faw'!$A$2:$A$26,MATCH($C24,'Shultis Faw'!$A$2:$A$26,1))),$C24*'Shultis Faw'!$C$2/'Shultis Faw'!$A$2)</f>
        <v>2.7523286000000002</v>
      </c>
      <c r="J24" s="83">
        <f>_xlfn.IFNA(INDEX('Shultis Faw'!$D$2:$D$26,MATCH($C24,'Shultis Faw'!$A$2:$A$26,1))+($C24-INDEX('Shultis Faw'!$A$2:$A$26,MATCH($C24,'Shultis Faw'!$A$2:$A$26,1)))*(INDEX('Shultis Faw'!$D$2:$D$26,MATCH($C24,'Shultis Faw'!$A$2:$A$26,1)+1)-INDEX('Shultis Faw'!$D$2:$D$26,MATCH($C24,'Shultis Faw'!$A$2:$A$26,1)))/(INDEX('Shultis Faw'!$A$2:$A$26,MATCH($C24,'Shultis Faw'!$A$2:$A$26,1)+1)-INDEX('Shultis Faw'!$A$2:$A$26,MATCH($C24,'Shultis Faw'!$A$2:$A$26,1))),$C24*'Shultis Faw'!$D$2/'Shultis Faw'!$A$2)</f>
        <v>1.9317153999999999</v>
      </c>
      <c r="K24" s="83">
        <f>_xlfn.IFNA(INDEX('Shultis Faw'!$B$2:$B$26,MATCH($C24,'Shultis Faw'!$A$2:$A$26,1))+($C24-INDEX('Shultis Faw'!$A$2:$A$26,MATCH($C24,'Shultis Faw'!$A$2:$A$26,1)))*(INDEX('Shultis Faw'!$B$2:$B$26,MATCH($C24,'Shultis Faw'!$A$2:$A$26,1)+1)-INDEX('Shultis Faw'!$B$2:$B$26,MATCH($C24,'Shultis Faw'!$A$2:$A$26,1)))/(INDEX('Shultis Faw'!$A$2:$A$26,MATCH($C24,'Shultis Faw'!$A$2:$A$26,1)+1)-INDEX('Shultis Faw'!$A$2:$A$26,MATCH($C24,'Shultis Faw'!$A$2:$A$26,1))),$C24*'Shultis Faw'!$B$2/'Shultis Faw'!$A$2)</f>
        <v>-0.15432665000000001</v>
      </c>
      <c r="L24" s="83">
        <f>_xlfn.IFNA(INDEX('Shultis Faw'!$E$2:$E$26,MATCH($C24,'Shultis Faw'!$A$2:$A$26,1))+($C24-INDEX('Shultis Faw'!$A$2:$A$26,MATCH($C24,'Shultis Faw'!$A$2:$A$26,1)))*(INDEX('Shultis Faw'!$E$2:$E$26,MATCH($C24,'Shultis Faw'!$A$2:$A$26,1)+1)-INDEX('Shultis Faw'!$E$2:$E$26,MATCH($C24,'Shultis Faw'!$A$2:$A$26,1)))/(INDEX('Shultis Faw'!$A$2:$A$26,MATCH($C24,'Shultis Faw'!$A$2:$A$26,1)+1)-INDEX('Shultis Faw'!$A$2:$A$26,MATCH($C24,'Shultis Faw'!$A$2:$A$26,1))),$C24*'Shultis Faw'!$E$2/'Shultis Faw'!$A$2)</f>
        <v>6.1630659999999997E-2</v>
      </c>
      <c r="M24" s="83">
        <f>_xlfn.IFNA(INDEX('Shultis Faw'!$F$2:$F$26,MATCH($C24,'Shultis Faw'!$A$2:$A$26,1))+($C24-INDEX('Shultis Faw'!$A$2:$A$26,MATCH($C24,'Shultis Faw'!$A$2:$A$26,1)))*(INDEX('Shultis Faw'!$F$2:$F$26,MATCH($C24,'Shultis Faw'!$A$2:$A$26,1)+1)-INDEX('Shultis Faw'!$F$2:$F$26,MATCH($C24,'Shultis Faw'!$A$2:$A$26,1)))/(INDEX('Shultis Faw'!$A$2:$A$26,MATCH($C24,'Shultis Faw'!$A$2:$A$26,1)+1)-INDEX('Shultis Faw'!$A$2:$A$26,MATCH($C24,'Shultis Faw'!$A$2:$A$26,1))),$C24*'Shultis Faw'!$F$2/'Shultis Faw'!$A$2)</f>
        <v>14.229346700000001</v>
      </c>
      <c r="N24" s="83">
        <f>J24*(H24*'Externe blootstelling'!$D$23/2)^K24+L24*(TANH(((H24*'Externe blootstelling'!$D$23)/(2*M24))-2)-TANH(-2))/(1-TANH(-2))</f>
        <v>1.7878188751747424</v>
      </c>
      <c r="O24" s="83">
        <f>IF(N24=1,1+(I24-1)*H24*'Externe blootstelling'!$D$23/2,1+(I24-1)*(N24^(H24*'Externe blootstelling'!$D$23/2)-1)/(N24-1))</f>
        <v>4.5874780453554216</v>
      </c>
      <c r="P24" s="67">
        <f>G24*EXP(-H24*'Externe blootstelling'!$D$23/2)*O24</f>
        <v>1.3022483355712888</v>
      </c>
      <c r="Q24" s="68"/>
    </row>
    <row r="25" spans="1:17" x14ac:dyDescent="0.2">
      <c r="A25" s="217"/>
      <c r="B25" s="64" t="s">
        <v>103</v>
      </c>
      <c r="C25" s="66">
        <v>0.40481400000000001</v>
      </c>
      <c r="D25" s="66">
        <f t="shared" si="0"/>
        <v>6.4770239999999993E-14</v>
      </c>
      <c r="E25" s="66">
        <v>5.5199999999999997E-4</v>
      </c>
      <c r="F25" s="66">
        <f>_xlfn.IFNA(INDEX('hp (pSv cm2)'!$B$2:$B$52,MATCH($C25,'hp (pSv cm2)'!$A$2:$A$52,1))+($C25-INDEX('hp (pSv cm2)'!$A$2:$A$52,MATCH($C25,'hp (pSv cm2)'!$A$2:$A$52,1)))*(INDEX('hp (pSv cm2)'!$B$2:$B$52,MATCH($C25,'hp (pSv cm2)'!$A$2:$A$52,1)+1)-INDEX('hp (pSv cm2)'!$B$2:$B$52,MATCH($C25,'hp (pSv cm2)'!$A$2:$A$52,1)))/(INDEX('hp (pSv cm2)'!$A$2:$A$52,MATCH($C25,'hp (pSv cm2)'!$A$2:$A$52,1)+1)-INDEX('hp (pSv cm2)'!$A$2:$A$52,MATCH($C25,'hp (pSv cm2)'!$A$2:$A$52,1))),$C25*'hp (pSv cm2)'!$B$2/'hp (pSv cm2)'!$A$2)</f>
        <v>2.0226258000000001</v>
      </c>
      <c r="G25" s="67">
        <f t="shared" si="1"/>
        <v>1.1164894416000001E-3</v>
      </c>
      <c r="H25" s="83">
        <f>_xlfn.IFNA(0.997*(INDEX('Mass attenuation coefficients'!$B$2:$B$37,MATCH($C25,'Mass attenuation coefficients'!$A$2:$A$37,1))+($C25-INDEX('Mass attenuation coefficients'!$A$2:$A$37,MATCH($C25,'Mass attenuation coefficients'!$A$2:$A$37,1)))*(INDEX('Mass attenuation coefficients'!$B$2:$B$37,MATCH($C25,'Mass attenuation coefficients'!$A$2:$A$37,1)+1)-INDEX('Mass attenuation coefficients'!$B$2:$B$37,MATCH($C25,'Mass attenuation coefficients'!$A$2:$A$37,1)))/(INDEX('Mass attenuation coefficients'!$A$2:$A$37,MATCH($C25,'Mass attenuation coefficients'!$A$2:$A$37,1)+1)-INDEX('Mass attenuation coefficients'!$A$2:$A$37,MATCH($C25,'Mass attenuation coefficients'!$A$2:$A$37,1)))),0.997*$C25*'Mass attenuation coefficients'!$B$2/'Mass attenuation coefficients'!$A$2)</f>
        <v>0.1053387007966</v>
      </c>
      <c r="I25" s="83">
        <f>_xlfn.IFNA(INDEX('Shultis Faw'!$C$2:$C$26,MATCH($C25,'Shultis Faw'!$A$2:$A$26,1))+($C25-INDEX('Shultis Faw'!$A$2:$A$26,MATCH($C25,'Shultis Faw'!$A$2:$A$26,1)))*(INDEX('Shultis Faw'!$C$2:$C$26,MATCH($C25,'Shultis Faw'!$A$2:$A$26,1)+1)-INDEX('Shultis Faw'!$C$2:$C$26,MATCH($C25,'Shultis Faw'!$A$2:$A$26,1)))/(INDEX('Shultis Faw'!$A$2:$A$26,MATCH($C25,'Shultis Faw'!$A$2:$A$26,1)+1)-INDEX('Shultis Faw'!$A$2:$A$26,MATCH($C25,'Shultis Faw'!$A$2:$A$26,1))),$C25*'Shultis Faw'!$C$2/'Shultis Faw'!$A$2)</f>
        <v>2.6522976000000003</v>
      </c>
      <c r="J25" s="83">
        <f>_xlfn.IFNA(INDEX('Shultis Faw'!$D$2:$D$26,MATCH($C25,'Shultis Faw'!$A$2:$A$26,1))+($C25-INDEX('Shultis Faw'!$A$2:$A$26,MATCH($C25,'Shultis Faw'!$A$2:$A$26,1)))*(INDEX('Shultis Faw'!$D$2:$D$26,MATCH($C25,'Shultis Faw'!$A$2:$A$26,1)+1)-INDEX('Shultis Faw'!$D$2:$D$26,MATCH($C25,'Shultis Faw'!$A$2:$A$26,1)))/(INDEX('Shultis Faw'!$A$2:$A$26,MATCH($C25,'Shultis Faw'!$A$2:$A$26,1)+1)-INDEX('Shultis Faw'!$A$2:$A$26,MATCH($C25,'Shultis Faw'!$A$2:$A$26,1))),$C25*'Shultis Faw'!$D$2/'Shultis Faw'!$A$2)</f>
        <v>1.87641576</v>
      </c>
      <c r="K25" s="83">
        <f>_xlfn.IFNA(INDEX('Shultis Faw'!$B$2:$B$26,MATCH($C25,'Shultis Faw'!$A$2:$A$26,1))+($C25-INDEX('Shultis Faw'!$A$2:$A$26,MATCH($C25,'Shultis Faw'!$A$2:$A$26,1)))*(INDEX('Shultis Faw'!$B$2:$B$26,MATCH($C25,'Shultis Faw'!$A$2:$A$26,1)+1)-INDEX('Shultis Faw'!$B$2:$B$26,MATCH($C25,'Shultis Faw'!$A$2:$A$26,1)))/(INDEX('Shultis Faw'!$A$2:$A$26,MATCH($C25,'Shultis Faw'!$A$2:$A$26,1)+1)-INDEX('Shultis Faw'!$A$2:$A$26,MATCH($C25,'Shultis Faw'!$A$2:$A$26,1))),$C25*'Shultis Faw'!$B$2/'Shultis Faw'!$A$2)</f>
        <v>-0.14832603999999999</v>
      </c>
      <c r="L25" s="83">
        <f>_xlfn.IFNA(INDEX('Shultis Faw'!$E$2:$E$26,MATCH($C25,'Shultis Faw'!$A$2:$A$26,1))+($C25-INDEX('Shultis Faw'!$A$2:$A$26,MATCH($C25,'Shultis Faw'!$A$2:$A$26,1)))*(INDEX('Shultis Faw'!$E$2:$E$26,MATCH($C25,'Shultis Faw'!$A$2:$A$26,1)+1)-INDEX('Shultis Faw'!$E$2:$E$26,MATCH($C25,'Shultis Faw'!$A$2:$A$26,1)))/(INDEX('Shultis Faw'!$A$2:$A$26,MATCH($C25,'Shultis Faw'!$A$2:$A$26,1)+1)-INDEX('Shultis Faw'!$A$2:$A$26,MATCH($C25,'Shultis Faw'!$A$2:$A$26,1))),$C25*'Shultis Faw'!$E$2/'Shultis Faw'!$A$2)</f>
        <v>5.9264114E-2</v>
      </c>
      <c r="M25" s="83">
        <f>_xlfn.IFNA(INDEX('Shultis Faw'!$F$2:$F$26,MATCH($C25,'Shultis Faw'!$A$2:$A$26,1))+($C25-INDEX('Shultis Faw'!$A$2:$A$26,MATCH($C25,'Shultis Faw'!$A$2:$A$26,1)))*(INDEX('Shultis Faw'!$F$2:$F$26,MATCH($C25,'Shultis Faw'!$A$2:$A$26,1)+1)-INDEX('Shultis Faw'!$F$2:$F$26,MATCH($C25,'Shultis Faw'!$A$2:$A$26,1)))/(INDEX('Shultis Faw'!$A$2:$A$26,MATCH($C25,'Shultis Faw'!$A$2:$A$26,1)+1)-INDEX('Shultis Faw'!$A$2:$A$26,MATCH($C25,'Shultis Faw'!$A$2:$A$26,1))),$C25*'Shultis Faw'!$F$2/'Shultis Faw'!$A$2)</f>
        <v>14.2443326</v>
      </c>
      <c r="N25" s="83">
        <f>J25*(H25*'Externe blootstelling'!$D$23/2)^K25+L25*(TANH(((H25*'Externe blootstelling'!$D$23)/(2*M25))-2)-TANH(-2))/(1-TANH(-2))</f>
        <v>1.7535778714569299</v>
      </c>
      <c r="O25" s="83">
        <f>IF(N25=1,1+(I25-1)*H25*'Externe blootstelling'!$D$23/2,1+(I25-1)*(N25^(H25*'Externe blootstelling'!$D$23/2)-1)/(N25-1))</f>
        <v>4.1331535369519461</v>
      </c>
      <c r="P25" s="67">
        <f>G25*EXP(-H25*'Externe blootstelling'!$D$23/2)*O25</f>
        <v>9.504207549243227E-4</v>
      </c>
      <c r="Q25" s="68"/>
    </row>
    <row r="26" spans="1:17" x14ac:dyDescent="0.2">
      <c r="A26" s="217"/>
      <c r="B26" s="64" t="s">
        <v>103</v>
      </c>
      <c r="C26" s="66">
        <v>0.50300400000000001</v>
      </c>
      <c r="D26" s="66">
        <f t="shared" si="0"/>
        <v>8.048064E-14</v>
      </c>
      <c r="E26" s="66">
        <v>3.5399999999999997E-3</v>
      </c>
      <c r="F26" s="66">
        <f>_xlfn.IFNA(INDEX('hp (pSv cm2)'!$B$2:$B$52,MATCH($C26,'hp (pSv cm2)'!$A$2:$A$52,1))+($C26-INDEX('hp (pSv cm2)'!$A$2:$A$52,MATCH($C26,'hp (pSv cm2)'!$A$2:$A$52,1)))*(INDEX('hp (pSv cm2)'!$B$2:$B$52,MATCH($C26,'hp (pSv cm2)'!$A$2:$A$52,1)+1)-INDEX('hp (pSv cm2)'!$B$2:$B$52,MATCH($C26,'hp (pSv cm2)'!$A$2:$A$52,1)))/(INDEX('hp (pSv cm2)'!$A$2:$A$52,MATCH($C26,'hp (pSv cm2)'!$A$2:$A$52,1)+1)-INDEX('hp (pSv cm2)'!$A$2:$A$52,MATCH($C26,'hp (pSv cm2)'!$A$2:$A$52,1))),$C26*'hp (pSv cm2)'!$B$2/'hp (pSv cm2)'!$A$2)</f>
        <v>2.4832176000000001</v>
      </c>
      <c r="G26" s="67">
        <f t="shared" si="1"/>
        <v>8.7905903039999997E-3</v>
      </c>
      <c r="H26" s="83">
        <f>_xlfn.IFNA(0.997*(INDEX('Mass attenuation coefficients'!$B$2:$B$37,MATCH($C26,'Mass attenuation coefficients'!$A$2:$A$37,1))+($C26-INDEX('Mass attenuation coefficients'!$A$2:$A$37,MATCH($C26,'Mass attenuation coefficients'!$A$2:$A$37,1)))*(INDEX('Mass attenuation coefficients'!$B$2:$B$37,MATCH($C26,'Mass attenuation coefficients'!$A$2:$A$37,1)+1)-INDEX('Mass attenuation coefficients'!$B$2:$B$37,MATCH($C26,'Mass attenuation coefficients'!$A$2:$A$37,1)))/(INDEX('Mass attenuation coefficients'!$A$2:$A$37,MATCH($C26,'Mass attenuation coefficients'!$A$2:$A$37,1)+1)-INDEX('Mass attenuation coefficients'!$A$2:$A$37,MATCH($C26,'Mass attenuation coefficients'!$A$2:$A$37,1)))),0.997*$C26*'Mass attenuation coefficients'!$B$2/'Mass attenuation coefficients'!$A$2)</f>
        <v>9.6360456377200004E-2</v>
      </c>
      <c r="I26" s="83">
        <f>_xlfn.IFNA(INDEX('Shultis Faw'!$C$2:$C$26,MATCH($C26,'Shultis Faw'!$A$2:$A$26,1))+($C26-INDEX('Shultis Faw'!$A$2:$A$26,MATCH($C26,'Shultis Faw'!$A$2:$A$26,1)))*(INDEX('Shultis Faw'!$C$2:$C$26,MATCH($C26,'Shultis Faw'!$A$2:$A$26,1)+1)-INDEX('Shultis Faw'!$C$2:$C$26,MATCH($C26,'Shultis Faw'!$A$2:$A$26,1)))/(INDEX('Shultis Faw'!$A$2:$A$26,MATCH($C26,'Shultis Faw'!$A$2:$A$26,1)+1)-INDEX('Shultis Faw'!$A$2:$A$26,MATCH($C26,'Shultis Faw'!$A$2:$A$26,1))),$C26*'Shultis Faw'!$C$2/'Shultis Faw'!$A$2)</f>
        <v>2.49630508</v>
      </c>
      <c r="J26" s="83">
        <f>_xlfn.IFNA(INDEX('Shultis Faw'!$D$2:$D$26,MATCH($C26,'Shultis Faw'!$A$2:$A$26,1))+($C26-INDEX('Shultis Faw'!$A$2:$A$26,MATCH($C26,'Shultis Faw'!$A$2:$A$26,1)))*(INDEX('Shultis Faw'!$D$2:$D$26,MATCH($C26,'Shultis Faw'!$A$2:$A$26,1)+1)-INDEX('Shultis Faw'!$D$2:$D$26,MATCH($C26,'Shultis Faw'!$A$2:$A$26,1)))/(INDEX('Shultis Faw'!$A$2:$A$26,MATCH($C26,'Shultis Faw'!$A$2:$A$26,1)+1)-INDEX('Shultis Faw'!$A$2:$A$26,MATCH($C26,'Shultis Faw'!$A$2:$A$26,1))),$C26*'Shultis Faw'!$D$2/'Shultis Faw'!$A$2)</f>
        <v>1.7633865200000001</v>
      </c>
      <c r="K26" s="83">
        <f>_xlfn.IFNA(INDEX('Shultis Faw'!$B$2:$B$26,MATCH($C26,'Shultis Faw'!$A$2:$A$26,1))+($C26-INDEX('Shultis Faw'!$A$2:$A$26,MATCH($C26,'Shultis Faw'!$A$2:$A$26,1)))*(INDEX('Shultis Faw'!$B$2:$B$26,MATCH($C26,'Shultis Faw'!$A$2:$A$26,1)+1)-INDEX('Shultis Faw'!$B$2:$B$26,MATCH($C26,'Shultis Faw'!$A$2:$A$26,1)))/(INDEX('Shultis Faw'!$A$2:$A$26,MATCH($C26,'Shultis Faw'!$A$2:$A$26,1)+1)-INDEX('Shultis Faw'!$A$2:$A$26,MATCH($C26,'Shultis Faw'!$A$2:$A$26,1))),$C26*'Shultis Faw'!$B$2/'Shultis Faw'!$A$2)</f>
        <v>-0.13466956000000002</v>
      </c>
      <c r="L26" s="83">
        <f>_xlfn.IFNA(INDEX('Shultis Faw'!$E$2:$E$26,MATCH($C26,'Shultis Faw'!$A$2:$A$26,1))+($C26-INDEX('Shultis Faw'!$A$2:$A$26,MATCH($C26,'Shultis Faw'!$A$2:$A$26,1)))*(INDEX('Shultis Faw'!$E$2:$E$26,MATCH($C26,'Shultis Faw'!$A$2:$A$26,1)+1)-INDEX('Shultis Faw'!$E$2:$E$26,MATCH($C26,'Shultis Faw'!$A$2:$A$26,1)))/(INDEX('Shultis Faw'!$A$2:$A$26,MATCH($C26,'Shultis Faw'!$A$2:$A$26,1)+1)-INDEX('Shultis Faw'!$A$2:$A$26,MATCH($C26,'Shultis Faw'!$A$2:$A$26,1))),$C26*'Shultis Faw'!$E$2/'Shultis Faw'!$A$2)</f>
        <v>5.4470827999999999E-2</v>
      </c>
      <c r="M26" s="83">
        <f>_xlfn.IFNA(INDEX('Shultis Faw'!$F$2:$F$26,MATCH($C26,'Shultis Faw'!$A$2:$A$26,1))+($C26-INDEX('Shultis Faw'!$A$2:$A$26,MATCH($C26,'Shultis Faw'!$A$2:$A$26,1)))*(INDEX('Shultis Faw'!$F$2:$F$26,MATCH($C26,'Shultis Faw'!$A$2:$A$26,1)+1)-INDEX('Shultis Faw'!$F$2:$F$26,MATCH($C26,'Shultis Faw'!$A$2:$A$26,1)))/(INDEX('Shultis Faw'!$A$2:$A$26,MATCH($C26,'Shultis Faw'!$A$2:$A$26,1)+1)-INDEX('Shultis Faw'!$A$2:$A$26,MATCH($C26,'Shultis Faw'!$A$2:$A$26,1))),$C26*'Shultis Faw'!$F$2/'Shultis Faw'!$A$2)</f>
        <v>14.326995999999999</v>
      </c>
      <c r="N26" s="83">
        <f>J26*(H26*'Externe blootstelling'!$D$23/2)^K26+L26*(TANH(((H26*'Externe blootstelling'!$D$23)/(2*M26))-2)-TANH(-2))/(1-TANH(-2))</f>
        <v>1.6782558818440791</v>
      </c>
      <c r="O26" s="83">
        <f>IF(N26=1,1+(I26-1)*H26*'Externe blootstelling'!$D$23/2,1+(I26-1)*(N26^(H26*'Externe blootstelling'!$D$23/2)-1)/(N26-1))</f>
        <v>3.4566000157845367</v>
      </c>
      <c r="P26" s="67">
        <f>G26*EXP(-H26*'Externe blootstelling'!$D$23/2)*O26</f>
        <v>7.1603615223696142E-3</v>
      </c>
      <c r="Q26" s="68"/>
    </row>
    <row r="27" spans="1:17" x14ac:dyDescent="0.2">
      <c r="A27" s="217"/>
      <c r="B27" s="64" t="s">
        <v>103</v>
      </c>
      <c r="C27" s="66">
        <v>0.63698900000000003</v>
      </c>
      <c r="D27" s="66">
        <f t="shared" si="0"/>
        <v>1.0191824E-13</v>
      </c>
      <c r="E27" s="66">
        <v>7.1199999999999999E-2</v>
      </c>
      <c r="F27" s="66">
        <f>_xlfn.IFNA(INDEX('hp (pSv cm2)'!$B$2:$B$52,MATCH($C27,'hp (pSv cm2)'!$A$2:$A$52,1))+($C27-INDEX('hp (pSv cm2)'!$A$2:$A$52,MATCH($C27,'hp (pSv cm2)'!$A$2:$A$52,1)))*(INDEX('hp (pSv cm2)'!$B$2:$B$52,MATCH($C27,'hp (pSv cm2)'!$A$2:$A$52,1)+1)-INDEX('hp (pSv cm2)'!$B$2:$B$52,MATCH($C27,'hp (pSv cm2)'!$A$2:$A$52,1)))/(INDEX('hp (pSv cm2)'!$A$2:$A$52,MATCH($C27,'hp (pSv cm2)'!$A$2:$A$52,1)+1)-INDEX('hp (pSv cm2)'!$A$2:$A$52,MATCH($C27,'hp (pSv cm2)'!$A$2:$A$52,1))),$C27*'hp (pSv cm2)'!$B$2/'hp (pSv cm2)'!$A$2)</f>
        <v>3.0616549000000002</v>
      </c>
      <c r="G27" s="67">
        <f t="shared" si="1"/>
        <v>0.21798982888000001</v>
      </c>
      <c r="H27" s="83">
        <f>_xlfn.IFNA(0.997*(INDEX('Mass attenuation coefficients'!$B$2:$B$37,MATCH($C27,'Mass attenuation coefficients'!$A$2:$A$37,1))+($C27-INDEX('Mass attenuation coefficients'!$A$2:$A$37,MATCH($C27,'Mass attenuation coefficients'!$A$2:$A$37,1)))*(INDEX('Mass attenuation coefficients'!$B$2:$B$37,MATCH($C27,'Mass attenuation coefficients'!$A$2:$A$37,1)+1)-INDEX('Mass attenuation coefficients'!$B$2:$B$37,MATCH($C27,'Mass attenuation coefficients'!$A$2:$A$37,1)))/(INDEX('Mass attenuation coefficients'!$A$2:$A$37,MATCH($C27,'Mass attenuation coefficients'!$A$2:$A$37,1)+1)-INDEX('Mass attenuation coefficients'!$A$2:$A$37,MATCH($C27,'Mass attenuation coefficients'!$A$2:$A$37,1)))),0.997*$C27*'Mass attenuation coefficients'!$B$2/'Mass attenuation coefficients'!$A$2)</f>
        <v>8.7279623299849993E-2</v>
      </c>
      <c r="I27" s="83">
        <f>_xlfn.IFNA(INDEX('Shultis Faw'!$C$2:$C$26,MATCH($C27,'Shultis Faw'!$A$2:$A$26,1))+($C27-INDEX('Shultis Faw'!$A$2:$A$26,MATCH($C27,'Shultis Faw'!$A$2:$A$26,1)))*(INDEX('Shultis Faw'!$C$2:$C$26,MATCH($C27,'Shultis Faw'!$A$2:$A$26,1)+1)-INDEX('Shultis Faw'!$C$2:$C$26,MATCH($C27,'Shultis Faw'!$A$2:$A$26,1)))/(INDEX('Shultis Faw'!$A$2:$A$26,MATCH($C27,'Shultis Faw'!$A$2:$A$26,1)+1)-INDEX('Shultis Faw'!$A$2:$A$26,MATCH($C27,'Shultis Faw'!$A$2:$A$26,1))),$C27*'Shultis Faw'!$C$2/'Shultis Faw'!$A$2)</f>
        <v>2.3464840749999998</v>
      </c>
      <c r="J27" s="83">
        <f>_xlfn.IFNA(INDEX('Shultis Faw'!$D$2:$D$26,MATCH($C27,'Shultis Faw'!$A$2:$A$26,1))+($C27-INDEX('Shultis Faw'!$A$2:$A$26,MATCH($C27,'Shultis Faw'!$A$2:$A$26,1)))*(INDEX('Shultis Faw'!$D$2:$D$26,MATCH($C27,'Shultis Faw'!$A$2:$A$26,1)+1)-INDEX('Shultis Faw'!$D$2:$D$26,MATCH($C27,'Shultis Faw'!$A$2:$A$26,1)))/(INDEX('Shultis Faw'!$A$2:$A$26,MATCH($C27,'Shultis Faw'!$A$2:$A$26,1)+1)-INDEX('Shultis Faw'!$A$2:$A$26,MATCH($C27,'Shultis Faw'!$A$2:$A$26,1))),$C27*'Shultis Faw'!$D$2/'Shultis Faw'!$A$2)</f>
        <v>1.654032425</v>
      </c>
      <c r="K27" s="83">
        <f>_xlfn.IFNA(INDEX('Shultis Faw'!$B$2:$B$26,MATCH($C27,'Shultis Faw'!$A$2:$A$26,1))+($C27-INDEX('Shultis Faw'!$A$2:$A$26,MATCH($C27,'Shultis Faw'!$A$2:$A$26,1)))*(INDEX('Shultis Faw'!$B$2:$B$26,MATCH($C27,'Shultis Faw'!$A$2:$A$26,1)+1)-INDEX('Shultis Faw'!$B$2:$B$26,MATCH($C27,'Shultis Faw'!$A$2:$A$26,1)))/(INDEX('Shultis Faw'!$A$2:$A$26,MATCH($C27,'Shultis Faw'!$A$2:$A$26,1)+1)-INDEX('Shultis Faw'!$A$2:$A$26,MATCH($C27,'Shultis Faw'!$A$2:$A$26,1))),$C27*'Shultis Faw'!$B$2/'Shultis Faw'!$A$2)</f>
        <v>-0.120486045</v>
      </c>
      <c r="L27" s="83">
        <f>_xlfn.IFNA(INDEX('Shultis Faw'!$E$2:$E$26,MATCH($C27,'Shultis Faw'!$A$2:$A$26,1))+($C27-INDEX('Shultis Faw'!$A$2:$A$26,MATCH($C27,'Shultis Faw'!$A$2:$A$26,1)))*(INDEX('Shultis Faw'!$E$2:$E$26,MATCH($C27,'Shultis Faw'!$A$2:$A$26,1)+1)-INDEX('Shultis Faw'!$E$2:$E$26,MATCH($C27,'Shultis Faw'!$A$2:$A$26,1)))/(INDEX('Shultis Faw'!$A$2:$A$26,MATCH($C27,'Shultis Faw'!$A$2:$A$26,1)+1)-INDEX('Shultis Faw'!$A$2:$A$26,MATCH($C27,'Shultis Faw'!$A$2:$A$26,1))),$C27*'Shultis Faw'!$E$2/'Shultis Faw'!$A$2)</f>
        <v>4.9079362999999994E-2</v>
      </c>
      <c r="M27" s="83">
        <f>_xlfn.IFNA(INDEX('Shultis Faw'!$F$2:$F$26,MATCH($C27,'Shultis Faw'!$A$2:$A$26,1))+($C27-INDEX('Shultis Faw'!$A$2:$A$26,MATCH($C27,'Shultis Faw'!$A$2:$A$26,1)))*(INDEX('Shultis Faw'!$F$2:$F$26,MATCH($C27,'Shultis Faw'!$A$2:$A$26,1)+1)-INDEX('Shultis Faw'!$F$2:$F$26,MATCH($C27,'Shultis Faw'!$A$2:$A$26,1)))/(INDEX('Shultis Faw'!$A$2:$A$26,MATCH($C27,'Shultis Faw'!$A$2:$A$26,1)+1)-INDEX('Shultis Faw'!$A$2:$A$26,MATCH($C27,'Shultis Faw'!$A$2:$A$26,1))),$C27*'Shultis Faw'!$F$2/'Shultis Faw'!$A$2)</f>
        <v>14.254042850000001</v>
      </c>
      <c r="N27" s="83">
        <f>J27*(H27*'Externe blootstelling'!$D$23/2)^K27+L27*(TANH(((H27*'Externe blootstelling'!$D$23)/(2*M27))-2)-TANH(-2))/(1-TANH(-2))</f>
        <v>1.6013813209065844</v>
      </c>
      <c r="O27" s="83">
        <f>IF(N27=1,1+(I27-1)*H27*'Externe blootstelling'!$D$23/2,1+(I27-1)*(N27^(H27*'Externe blootstelling'!$D$23/2)-1)/(N27-1))</f>
        <v>2.90840249159496</v>
      </c>
      <c r="P27" s="67">
        <f>G27*EXP(-H27*'Externe blootstelling'!$D$23/2)*O27</f>
        <v>0.17120437429533908</v>
      </c>
      <c r="Q27" s="68"/>
    </row>
    <row r="28" spans="1:17" x14ac:dyDescent="0.2">
      <c r="A28" s="217"/>
      <c r="B28" s="64" t="s">
        <v>103</v>
      </c>
      <c r="C28" s="66">
        <v>0.64271900000000004</v>
      </c>
      <c r="D28" s="66">
        <f t="shared" si="0"/>
        <v>1.0283503999999999E-13</v>
      </c>
      <c r="E28" s="66">
        <v>2.183E-3</v>
      </c>
      <c r="F28" s="66">
        <f>_xlfn.IFNA(INDEX('hp (pSv cm2)'!$B$2:$B$52,MATCH($C28,'hp (pSv cm2)'!$A$2:$A$52,1))+($C28-INDEX('hp (pSv cm2)'!$A$2:$A$52,MATCH($C28,'hp (pSv cm2)'!$A$2:$A$52,1)))*(INDEX('hp (pSv cm2)'!$B$2:$B$52,MATCH($C28,'hp (pSv cm2)'!$A$2:$A$52,1)+1)-INDEX('hp (pSv cm2)'!$B$2:$B$52,MATCH($C28,'hp (pSv cm2)'!$A$2:$A$52,1)))/(INDEX('hp (pSv cm2)'!$A$2:$A$52,MATCH($C28,'hp (pSv cm2)'!$A$2:$A$52,1)+1)-INDEX('hp (pSv cm2)'!$A$2:$A$52,MATCH($C28,'hp (pSv cm2)'!$A$2:$A$52,1))),$C28*'hp (pSv cm2)'!$B$2/'hp (pSv cm2)'!$A$2)</f>
        <v>3.0851479000000004</v>
      </c>
      <c r="G28" s="67">
        <f t="shared" si="1"/>
        <v>6.7348778657000006E-3</v>
      </c>
      <c r="H28" s="83">
        <f>_xlfn.IFNA(0.997*(INDEX('Mass attenuation coefficients'!$B$2:$B$37,MATCH($C28,'Mass attenuation coefficients'!$A$2:$A$37,1))+($C28-INDEX('Mass attenuation coefficients'!$A$2:$A$37,MATCH($C28,'Mass attenuation coefficients'!$A$2:$A$37,1)))*(INDEX('Mass attenuation coefficients'!$B$2:$B$37,MATCH($C28,'Mass attenuation coefficients'!$A$2:$A$37,1)+1)-INDEX('Mass attenuation coefficients'!$B$2:$B$37,MATCH($C28,'Mass attenuation coefficients'!$A$2:$A$37,1)))/(INDEX('Mass attenuation coefficients'!$A$2:$A$37,MATCH($C28,'Mass attenuation coefficients'!$A$2:$A$37,1)+1)-INDEX('Mass attenuation coefficients'!$A$2:$A$37,MATCH($C28,'Mass attenuation coefficients'!$A$2:$A$37,1)))),0.997*$C28*'Mass attenuation coefficients'!$B$2/'Mass attenuation coefficients'!$A$2)</f>
        <v>8.6967989514349989E-2</v>
      </c>
      <c r="I28" s="83">
        <f>_xlfn.IFNA(INDEX('Shultis Faw'!$C$2:$C$26,MATCH($C28,'Shultis Faw'!$A$2:$A$26,1))+($C28-INDEX('Shultis Faw'!$A$2:$A$26,MATCH($C28,'Shultis Faw'!$A$2:$A$26,1)))*(INDEX('Shultis Faw'!$C$2:$C$26,MATCH($C28,'Shultis Faw'!$A$2:$A$26,1)+1)-INDEX('Shultis Faw'!$C$2:$C$26,MATCH($C28,'Shultis Faw'!$A$2:$A$26,1)))/(INDEX('Shultis Faw'!$A$2:$A$26,MATCH($C28,'Shultis Faw'!$A$2:$A$26,1)+1)-INDEX('Shultis Faw'!$A$2:$A$26,MATCH($C28,'Shultis Faw'!$A$2:$A$26,1))),$C28*'Shultis Faw'!$C$2/'Shultis Faw'!$A$2)</f>
        <v>2.341756825</v>
      </c>
      <c r="J28" s="83">
        <f>_xlfn.IFNA(INDEX('Shultis Faw'!$D$2:$D$26,MATCH($C28,'Shultis Faw'!$A$2:$A$26,1))+($C28-INDEX('Shultis Faw'!$A$2:$A$26,MATCH($C28,'Shultis Faw'!$A$2:$A$26,1)))*(INDEX('Shultis Faw'!$D$2:$D$26,MATCH($C28,'Shultis Faw'!$A$2:$A$26,1)+1)-INDEX('Shultis Faw'!$D$2:$D$26,MATCH($C28,'Shultis Faw'!$A$2:$A$26,1)))/(INDEX('Shultis Faw'!$A$2:$A$26,MATCH($C28,'Shultis Faw'!$A$2:$A$26,1)+1)-INDEX('Shultis Faw'!$A$2:$A$26,MATCH($C28,'Shultis Faw'!$A$2:$A$26,1))),$C28*'Shultis Faw'!$D$2/'Shultis Faw'!$A$2)</f>
        <v>1.6501646750000001</v>
      </c>
      <c r="K28" s="83">
        <f>_xlfn.IFNA(INDEX('Shultis Faw'!$B$2:$B$26,MATCH($C28,'Shultis Faw'!$A$2:$A$26,1))+($C28-INDEX('Shultis Faw'!$A$2:$A$26,MATCH($C28,'Shultis Faw'!$A$2:$A$26,1)))*(INDEX('Shultis Faw'!$B$2:$B$26,MATCH($C28,'Shultis Faw'!$A$2:$A$26,1)+1)-INDEX('Shultis Faw'!$B$2:$B$26,MATCH($C28,'Shultis Faw'!$A$2:$A$26,1)))/(INDEX('Shultis Faw'!$A$2:$A$26,MATCH($C28,'Shultis Faw'!$A$2:$A$26,1)+1)-INDEX('Shultis Faw'!$A$2:$A$26,MATCH($C28,'Shultis Faw'!$A$2:$A$26,1))),$C28*'Shultis Faw'!$B$2/'Shultis Faw'!$A$2)</f>
        <v>-0.11994169499999999</v>
      </c>
      <c r="L28" s="83">
        <f>_xlfn.IFNA(INDEX('Shultis Faw'!$E$2:$E$26,MATCH($C28,'Shultis Faw'!$A$2:$A$26,1))+($C28-INDEX('Shultis Faw'!$A$2:$A$26,MATCH($C28,'Shultis Faw'!$A$2:$A$26,1)))*(INDEX('Shultis Faw'!$E$2:$E$26,MATCH($C28,'Shultis Faw'!$A$2:$A$26,1)+1)-INDEX('Shultis Faw'!$E$2:$E$26,MATCH($C28,'Shultis Faw'!$A$2:$A$26,1)))/(INDEX('Shultis Faw'!$A$2:$A$26,MATCH($C28,'Shultis Faw'!$A$2:$A$26,1)+1)-INDEX('Shultis Faw'!$A$2:$A$26,MATCH($C28,'Shultis Faw'!$A$2:$A$26,1))),$C28*'Shultis Faw'!$E$2/'Shultis Faw'!$A$2)</f>
        <v>4.8890272999999998E-2</v>
      </c>
      <c r="M28" s="83">
        <f>_xlfn.IFNA(INDEX('Shultis Faw'!$F$2:$F$26,MATCH($C28,'Shultis Faw'!$A$2:$A$26,1))+($C28-INDEX('Shultis Faw'!$A$2:$A$26,MATCH($C28,'Shultis Faw'!$A$2:$A$26,1)))*(INDEX('Shultis Faw'!$F$2:$F$26,MATCH($C28,'Shultis Faw'!$A$2:$A$26,1)+1)-INDEX('Shultis Faw'!$F$2:$F$26,MATCH($C28,'Shultis Faw'!$A$2:$A$26,1)))/(INDEX('Shultis Faw'!$A$2:$A$26,MATCH($C28,'Shultis Faw'!$A$2:$A$26,1)+1)-INDEX('Shultis Faw'!$A$2:$A$26,MATCH($C28,'Shultis Faw'!$A$2:$A$26,1))),$C28*'Shultis Faw'!$F$2/'Shultis Faw'!$A$2)</f>
        <v>14.25776735</v>
      </c>
      <c r="N28" s="83">
        <f>J28*(H28*'Externe blootstelling'!$D$23/2)^K28+L28*(TANH(((H28*'Externe blootstelling'!$D$23)/(2*M28))-2)-TANH(-2))/(1-TANH(-2))</f>
        <v>1.5985555651193266</v>
      </c>
      <c r="O28" s="83">
        <f>IF(N28=1,1+(I28-1)*H28*'Externe blootstelling'!$D$23/2,1+(I28-1)*(N28^(H28*'Externe blootstelling'!$D$23/2)-1)/(N28-1))</f>
        <v>2.8920159996371324</v>
      </c>
      <c r="P28" s="67">
        <f>G28*EXP(-H28*'Externe blootstelling'!$D$23/2)*O28</f>
        <v>5.2842657005356414E-3</v>
      </c>
      <c r="Q28" s="68"/>
    </row>
    <row r="29" spans="1:17" x14ac:dyDescent="0.2">
      <c r="A29" s="217"/>
      <c r="B29" s="64" t="s">
        <v>103</v>
      </c>
      <c r="C29" s="66">
        <v>0.72291099999999997</v>
      </c>
      <c r="D29" s="66">
        <f t="shared" si="0"/>
        <v>1.1566575999999998E-13</v>
      </c>
      <c r="E29" s="66">
        <v>1.7860000000000001E-2</v>
      </c>
      <c r="F29" s="66">
        <f>_xlfn.IFNA(INDEX('hp (pSv cm2)'!$B$2:$B$52,MATCH($C29,'hp (pSv cm2)'!$A$2:$A$52,1))+($C29-INDEX('hp (pSv cm2)'!$A$2:$A$52,MATCH($C29,'hp (pSv cm2)'!$A$2:$A$52,1)))*(INDEX('hp (pSv cm2)'!$B$2:$B$52,MATCH($C29,'hp (pSv cm2)'!$A$2:$A$52,1)+1)-INDEX('hp (pSv cm2)'!$B$2:$B$52,MATCH($C29,'hp (pSv cm2)'!$A$2:$A$52,1)))/(INDEX('hp (pSv cm2)'!$A$2:$A$52,MATCH($C29,'hp (pSv cm2)'!$A$2:$A$52,1)+1)-INDEX('hp (pSv cm2)'!$A$2:$A$52,MATCH($C29,'hp (pSv cm2)'!$A$2:$A$52,1))),$C29*'hp (pSv cm2)'!$B$2/'hp (pSv cm2)'!$A$2)</f>
        <v>3.4139350999999998</v>
      </c>
      <c r="G29" s="67">
        <f t="shared" si="1"/>
        <v>6.0972880885999996E-2</v>
      </c>
      <c r="H29" s="83">
        <f>_xlfn.IFNA(0.997*(INDEX('Mass attenuation coefficients'!$B$2:$B$37,MATCH($C29,'Mass attenuation coefficients'!$A$2:$A$37,1))+($C29-INDEX('Mass attenuation coefficients'!$A$2:$A$37,MATCH($C29,'Mass attenuation coefficients'!$A$2:$A$37,1)))*(INDEX('Mass attenuation coefficients'!$B$2:$B$37,MATCH($C29,'Mass attenuation coefficients'!$A$2:$A$37,1)+1)-INDEX('Mass attenuation coefficients'!$B$2:$B$37,MATCH($C29,'Mass attenuation coefficients'!$A$2:$A$37,1)))/(INDEX('Mass attenuation coefficients'!$A$2:$A$37,MATCH($C29,'Mass attenuation coefficients'!$A$2:$A$37,1)+1)-INDEX('Mass attenuation coefficients'!$A$2:$A$37,MATCH($C29,'Mass attenuation coefficients'!$A$2:$A$37,1)))),0.997*$C29*'Mass attenuation coefficients'!$B$2/'Mass attenuation coefficients'!$A$2)</f>
        <v>8.2606639335150001E-2</v>
      </c>
      <c r="I29" s="83">
        <f>_xlfn.IFNA(INDEX('Shultis Faw'!$C$2:$C$26,MATCH($C29,'Shultis Faw'!$A$2:$A$26,1))+($C29-INDEX('Shultis Faw'!$A$2:$A$26,MATCH($C29,'Shultis Faw'!$A$2:$A$26,1)))*(INDEX('Shultis Faw'!$C$2:$C$26,MATCH($C29,'Shultis Faw'!$A$2:$A$26,1)+1)-INDEX('Shultis Faw'!$C$2:$C$26,MATCH($C29,'Shultis Faw'!$A$2:$A$26,1)))/(INDEX('Shultis Faw'!$A$2:$A$26,MATCH($C29,'Shultis Faw'!$A$2:$A$26,1)+1)-INDEX('Shultis Faw'!$A$2:$A$26,MATCH($C29,'Shultis Faw'!$A$2:$A$26,1))),$C29*'Shultis Faw'!$C$2/'Shultis Faw'!$A$2)</f>
        <v>2.2755984250000001</v>
      </c>
      <c r="J29" s="83">
        <f>_xlfn.IFNA(INDEX('Shultis Faw'!$D$2:$D$26,MATCH($C29,'Shultis Faw'!$A$2:$A$26,1))+($C29-INDEX('Shultis Faw'!$A$2:$A$26,MATCH($C29,'Shultis Faw'!$A$2:$A$26,1)))*(INDEX('Shultis Faw'!$D$2:$D$26,MATCH($C29,'Shultis Faw'!$A$2:$A$26,1)+1)-INDEX('Shultis Faw'!$D$2:$D$26,MATCH($C29,'Shultis Faw'!$A$2:$A$26,1)))/(INDEX('Shultis Faw'!$A$2:$A$26,MATCH($C29,'Shultis Faw'!$A$2:$A$26,1)+1)-INDEX('Shultis Faw'!$A$2:$A$26,MATCH($C29,'Shultis Faw'!$A$2:$A$26,1))),$C29*'Shultis Faw'!$D$2/'Shultis Faw'!$A$2)</f>
        <v>1.5960350750000001</v>
      </c>
      <c r="K29" s="83">
        <f>_xlfn.IFNA(INDEX('Shultis Faw'!$B$2:$B$26,MATCH($C29,'Shultis Faw'!$A$2:$A$26,1))+($C29-INDEX('Shultis Faw'!$A$2:$A$26,MATCH($C29,'Shultis Faw'!$A$2:$A$26,1)))*(INDEX('Shultis Faw'!$B$2:$B$26,MATCH($C29,'Shultis Faw'!$A$2:$A$26,1)+1)-INDEX('Shultis Faw'!$B$2:$B$26,MATCH($C29,'Shultis Faw'!$A$2:$A$26,1)))/(INDEX('Shultis Faw'!$A$2:$A$26,MATCH($C29,'Shultis Faw'!$A$2:$A$26,1)+1)-INDEX('Shultis Faw'!$A$2:$A$26,MATCH($C29,'Shultis Faw'!$A$2:$A$26,1))),$C29*'Shultis Faw'!$B$2/'Shultis Faw'!$A$2)</f>
        <v>-0.112323455</v>
      </c>
      <c r="L29" s="83">
        <f>_xlfn.IFNA(INDEX('Shultis Faw'!$E$2:$E$26,MATCH($C29,'Shultis Faw'!$A$2:$A$26,1))+($C29-INDEX('Shultis Faw'!$A$2:$A$26,MATCH($C29,'Shultis Faw'!$A$2:$A$26,1)))*(INDEX('Shultis Faw'!$E$2:$E$26,MATCH($C29,'Shultis Faw'!$A$2:$A$26,1)+1)-INDEX('Shultis Faw'!$E$2:$E$26,MATCH($C29,'Shultis Faw'!$A$2:$A$26,1)))/(INDEX('Shultis Faw'!$A$2:$A$26,MATCH($C29,'Shultis Faw'!$A$2:$A$26,1)+1)-INDEX('Shultis Faw'!$A$2:$A$26,MATCH($C29,'Shultis Faw'!$A$2:$A$26,1))),$C29*'Shultis Faw'!$E$2/'Shultis Faw'!$A$2)</f>
        <v>4.6243936999999999E-2</v>
      </c>
      <c r="M29" s="83">
        <f>_xlfn.IFNA(INDEX('Shultis Faw'!$F$2:$F$26,MATCH($C29,'Shultis Faw'!$A$2:$A$26,1))+($C29-INDEX('Shultis Faw'!$A$2:$A$26,MATCH($C29,'Shultis Faw'!$A$2:$A$26,1)))*(INDEX('Shultis Faw'!$F$2:$F$26,MATCH($C29,'Shultis Faw'!$A$2:$A$26,1)+1)-INDEX('Shultis Faw'!$F$2:$F$26,MATCH($C29,'Shultis Faw'!$A$2:$A$26,1)))/(INDEX('Shultis Faw'!$A$2:$A$26,MATCH($C29,'Shultis Faw'!$A$2:$A$26,1)+1)-INDEX('Shultis Faw'!$A$2:$A$26,MATCH($C29,'Shultis Faw'!$A$2:$A$26,1))),$C29*'Shultis Faw'!$F$2/'Shultis Faw'!$A$2)</f>
        <v>14.30989215</v>
      </c>
      <c r="N29" s="83">
        <f>J29*(H29*'Externe blootstelling'!$D$23/2)^K29+L29*(TANH(((H29*'Externe blootstelling'!$D$23)/(2*M29))-2)-TANH(-2))/(1-TANH(-2))</f>
        <v>1.558217602796977</v>
      </c>
      <c r="O29" s="83">
        <f>IF(N29=1,1+(I29-1)*H29*'Externe blootstelling'!$D$23/2,1+(I29-1)*(N29^(H29*'Externe blootstelling'!$D$23/2)-1)/(N29-1))</f>
        <v>2.6739668210170837</v>
      </c>
      <c r="P29" s="67">
        <f>G29*EXP(-H29*'Externe blootstelling'!$D$23/2)*O29</f>
        <v>4.722354817810951E-2</v>
      </c>
      <c r="Q29" s="68"/>
    </row>
    <row r="30" spans="1:17" x14ac:dyDescent="0.2">
      <c r="A30" s="218"/>
      <c r="B30" s="64"/>
      <c r="C30" s="66"/>
      <c r="D30" s="66"/>
      <c r="E30" s="66"/>
      <c r="F30" s="66"/>
      <c r="G30" s="67"/>
      <c r="H30" s="83"/>
      <c r="I30" s="83"/>
      <c r="J30" s="83"/>
      <c r="K30" s="83"/>
      <c r="L30" s="83"/>
      <c r="M30" s="83"/>
      <c r="N30" s="83"/>
      <c r="O30" s="83"/>
      <c r="P30" s="67"/>
      <c r="Q30" s="67">
        <f>SUM(P6:P29)/SUM(G6:G29)</f>
        <v>0.86283207229620873</v>
      </c>
    </row>
    <row r="31" spans="1:17" s="62" customFormat="1" x14ac:dyDescent="0.2">
      <c r="A31" s="69"/>
      <c r="B31" s="70"/>
      <c r="C31" s="71"/>
      <c r="D31" s="71"/>
      <c r="E31" s="71"/>
      <c r="F31" s="71"/>
      <c r="G31" s="72"/>
      <c r="H31" s="84"/>
      <c r="I31" s="84"/>
      <c r="J31" s="84"/>
      <c r="K31" s="84"/>
      <c r="L31" s="84"/>
      <c r="M31" s="84"/>
      <c r="N31" s="84"/>
      <c r="O31" s="84"/>
      <c r="P31" s="72"/>
      <c r="Q31" s="72"/>
    </row>
    <row r="32" spans="1:17" x14ac:dyDescent="0.2">
      <c r="A32" s="216" t="s">
        <v>143</v>
      </c>
      <c r="B32" s="64" t="s">
        <v>102</v>
      </c>
      <c r="C32" s="65">
        <v>6.483E-3</v>
      </c>
      <c r="D32" s="66">
        <f t="shared" ref="D32:D63" si="2">C32*1000000*1.6E-19</f>
        <v>1.03728E-15</v>
      </c>
      <c r="E32" s="66">
        <v>0.10880000000000001</v>
      </c>
      <c r="F32" s="66">
        <f>_xlfn.IFNA(INDEX('hp (pSv cm2)'!$B$2:$B$52,MATCH($C32,'hp (pSv cm2)'!$A$2:$A$52,1))+($C32-INDEX('hp (pSv cm2)'!$A$2:$A$52,MATCH($C32,'hp (pSv cm2)'!$A$2:$A$52,1)))*(INDEX('hp (pSv cm2)'!$B$2:$B$52,MATCH($C32,'hp (pSv cm2)'!$A$2:$A$52,1)+1)-INDEX('hp (pSv cm2)'!$B$2:$B$52,MATCH($C32,'hp (pSv cm2)'!$A$2:$A$52,1)))/(INDEX('hp (pSv cm2)'!$A$2:$A$52,MATCH($C32,'hp (pSv cm2)'!$A$2:$A$52,1)+1)-INDEX('hp (pSv cm2)'!$A$2:$A$52,MATCH($C32,'hp (pSv cm2)'!$A$2:$A$52,1))),$C32*'hp (pSv cm2)'!$B$2/'hp (pSv cm2)'!$A$2)</f>
        <v>1.94497E-2</v>
      </c>
      <c r="G32" s="67">
        <f t="shared" ref="G32:G63" si="3">F32*E32</f>
        <v>2.1161273600000001E-3</v>
      </c>
      <c r="H32" s="83">
        <f>_xlfn.IFNA(0.997*(INDEX('Mass attenuation coefficients'!$B$2:$B$37,MATCH($C32,'Mass attenuation coefficients'!$A$2:$A$37,1))+($C32-INDEX('Mass attenuation coefficients'!$A$2:$A$37,MATCH($C32,'Mass attenuation coefficients'!$A$2:$A$37,1)))*(INDEX('Mass attenuation coefficients'!$B$2:$B$37,MATCH($C32,'Mass attenuation coefficients'!$A$2:$A$37,1)+1)-INDEX('Mass attenuation coefficients'!$B$2:$B$37,MATCH($C32,'Mass attenuation coefficients'!$A$2:$A$37,1)))/(INDEX('Mass attenuation coefficients'!$A$2:$A$37,MATCH($C32,'Mass attenuation coefficients'!$A$2:$A$37,1)+1)-INDEX('Mass attenuation coefficients'!$A$2:$A$37,MATCH($C32,'Mass attenuation coefficients'!$A$2:$A$37,1)))),0.997*$C32*'Mass attenuation coefficients'!$B$2/'Mass attenuation coefficients'!$A$2)</f>
        <v>21.130213615000002</v>
      </c>
      <c r="I32" s="83">
        <f>_xlfn.IFNA(INDEX('Shultis Faw'!$C$2:$C$26,MATCH($C32,'Shultis Faw'!$A$2:$A$26,1))+($C32-INDEX('Shultis Faw'!$A$2:$A$26,MATCH($C32,'Shultis Faw'!$A$2:$A$26,1)))*(INDEX('Shultis Faw'!$C$2:$C$26,MATCH($C32,'Shultis Faw'!$A$2:$A$26,1)+1)-INDEX('Shultis Faw'!$C$2:$C$26,MATCH($C32,'Shultis Faw'!$A$2:$A$26,1)))/(INDEX('Shultis Faw'!$A$2:$A$26,MATCH($C32,'Shultis Faw'!$A$2:$A$26,1)+1)-INDEX('Shultis Faw'!$A$2:$A$26,MATCH($C32,'Shultis Faw'!$A$2:$A$26,1))),$C32*'Shultis Faw'!$C$2/'Shultis Faw'!$A$2)</f>
        <v>0.51086039999999999</v>
      </c>
      <c r="J32" s="83">
        <f>_xlfn.IFNA(INDEX('Shultis Faw'!$D$2:$D$26,MATCH($C32,'Shultis Faw'!$A$2:$A$26,1))+($C32-INDEX('Shultis Faw'!$A$2:$A$26,MATCH($C32,'Shultis Faw'!$A$2:$A$26,1)))*(INDEX('Shultis Faw'!$D$2:$D$26,MATCH($C32,'Shultis Faw'!$A$2:$A$26,1)+1)-INDEX('Shultis Faw'!$D$2:$D$26,MATCH($C32,'Shultis Faw'!$A$2:$A$26,1)))/(INDEX('Shultis Faw'!$A$2:$A$26,MATCH($C32,'Shultis Faw'!$A$2:$A$26,1)+1)-INDEX('Shultis Faw'!$A$2:$A$26,MATCH($C32,'Shultis Faw'!$A$2:$A$26,1))),$C32*'Shultis Faw'!$D$2/'Shultis Faw'!$A$2)</f>
        <v>0.2001086</v>
      </c>
      <c r="K32" s="83">
        <f>_xlfn.IFNA(INDEX('Shultis Faw'!$B$2:$B$26,MATCH($C32,'Shultis Faw'!$A$2:$A$26,1))+($C32-INDEX('Shultis Faw'!$A$2:$A$26,MATCH($C32,'Shultis Faw'!$A$2:$A$26,1)))*(INDEX('Shultis Faw'!$B$2:$B$26,MATCH($C32,'Shultis Faw'!$A$2:$A$26,1)+1)-INDEX('Shultis Faw'!$B$2:$B$26,MATCH($C32,'Shultis Faw'!$A$2:$A$26,1)))/(INDEX('Shultis Faw'!$A$2:$A$26,MATCH($C32,'Shultis Faw'!$A$2:$A$26,1)+1)-INDEX('Shultis Faw'!$A$2:$A$26,MATCH($C32,'Shultis Faw'!$A$2:$A$26,1))),$C32*'Shultis Faw'!$B$2/'Shultis Faw'!$A$2)</f>
        <v>7.4338399999999999E-2</v>
      </c>
      <c r="L32" s="83">
        <f>_xlfn.IFNA(INDEX('Shultis Faw'!$E$2:$E$26,MATCH($C32,'Shultis Faw'!$A$2:$A$26,1))+($C32-INDEX('Shultis Faw'!$A$2:$A$26,MATCH($C32,'Shultis Faw'!$A$2:$A$26,1)))*(INDEX('Shultis Faw'!$E$2:$E$26,MATCH($C32,'Shultis Faw'!$A$2:$A$26,1)+1)-INDEX('Shultis Faw'!$E$2:$E$26,MATCH($C32,'Shultis Faw'!$A$2:$A$26,1)))/(INDEX('Shultis Faw'!$A$2:$A$26,MATCH($C32,'Shultis Faw'!$A$2:$A$26,1)+1)-INDEX('Shultis Faw'!$A$2:$A$26,MATCH($C32,'Shultis Faw'!$A$2:$A$26,1))),$C32*'Shultis Faw'!$E$2/'Shultis Faw'!$A$2)</f>
        <v>-3.9243760000000003E-2</v>
      </c>
      <c r="M32" s="83">
        <f>_xlfn.IFNA(INDEX('Shultis Faw'!$F$2:$F$26,MATCH($C32,'Shultis Faw'!$A$2:$A$26,1))+($C32-INDEX('Shultis Faw'!$A$2:$A$26,MATCH($C32,'Shultis Faw'!$A$2:$A$26,1)))*(INDEX('Shultis Faw'!$F$2:$F$26,MATCH($C32,'Shultis Faw'!$A$2:$A$26,1)+1)-INDEX('Shultis Faw'!$F$2:$F$26,MATCH($C32,'Shultis Faw'!$A$2:$A$26,1)))/(INDEX('Shultis Faw'!$A$2:$A$26,MATCH($C32,'Shultis Faw'!$A$2:$A$26,1)+1)-INDEX('Shultis Faw'!$A$2:$A$26,MATCH($C32,'Shultis Faw'!$A$2:$A$26,1))),$C32*'Shultis Faw'!$F$2/'Shultis Faw'!$A$2)</f>
        <v>6.1502060000000007</v>
      </c>
      <c r="N32" s="83">
        <f>J32*(H32*'Externe blootstelling'!$D$23/2)^K32+L32*(TANH(((H32*'Externe blootstelling'!$D$23)/(2*M32))-2)-TANH(-2))/(1-TANH(-2))</f>
        <v>0.26778971726390582</v>
      </c>
      <c r="O32" s="83">
        <f>IF(N32=1,1+(I32-1)*H32*'Externe blootstelling'!$D$23/2,1+(I32-1)*(N32^(H32*'Externe blootstelling'!$D$23/2)-1)/(N32-1))</f>
        <v>0.33196840916764692</v>
      </c>
      <c r="P32" s="67">
        <f>G32*EXP(-H32*'Externe blootstelling'!$D$23/2)*O32</f>
        <v>1.568956645905576E-141</v>
      </c>
      <c r="Q32" s="68"/>
    </row>
    <row r="33" spans="1:17" x14ac:dyDescent="0.2">
      <c r="A33" s="217"/>
      <c r="B33" s="64" t="s">
        <v>104</v>
      </c>
      <c r="C33" s="65">
        <v>1.9812960000000001E-2</v>
      </c>
      <c r="D33" s="66">
        <f t="shared" si="2"/>
        <v>3.1700736000000004E-15</v>
      </c>
      <c r="E33" s="66">
        <v>1.0500000000000001E-6</v>
      </c>
      <c r="F33" s="66">
        <f>_xlfn.IFNA(INDEX('hp (pSv cm2)'!$B$2:$B$52,MATCH($C33,'hp (pSv cm2)'!$A$2:$A$52,1))+($C33-INDEX('hp (pSv cm2)'!$A$2:$A$52,MATCH($C33,'hp (pSv cm2)'!$A$2:$A$52,1)))*(INDEX('hp (pSv cm2)'!$B$2:$B$52,MATCH($C33,'hp (pSv cm2)'!$A$2:$A$52,1)+1)-INDEX('hp (pSv cm2)'!$B$2:$B$52,MATCH($C33,'hp (pSv cm2)'!$A$2:$A$52,1)))/(INDEX('hp (pSv cm2)'!$A$2:$A$52,MATCH($C33,'hp (pSv cm2)'!$A$2:$A$52,1)+1)-INDEX('hp (pSv cm2)'!$A$2:$A$52,MATCH($C33,'hp (pSv cm2)'!$A$2:$A$52,1))),$C33*'hp (pSv cm2)'!$B$2/'hp (pSv cm2)'!$A$2)</f>
        <v>0.22225674666666667</v>
      </c>
      <c r="G33" s="67">
        <f t="shared" si="3"/>
        <v>2.3336958400000003E-7</v>
      </c>
      <c r="H33" s="83">
        <f>_xlfn.IFNA(0.997*(INDEX('Mass attenuation coefficients'!$B$2:$B$37,MATCH($C33,'Mass attenuation coefficients'!$A$2:$A$37,1))+($C33-INDEX('Mass attenuation coefficients'!$A$2:$A$37,MATCH($C33,'Mass attenuation coefficients'!$A$2:$A$37,1)))*(INDEX('Mass attenuation coefficients'!$B$2:$B$37,MATCH($C33,'Mass attenuation coefficients'!$A$2:$A$37,1)+1)-INDEX('Mass attenuation coefficients'!$B$2:$B$37,MATCH($C33,'Mass attenuation coefficients'!$A$2:$A$37,1)))/(INDEX('Mass attenuation coefficients'!$A$2:$A$37,MATCH($C33,'Mass attenuation coefficients'!$A$2:$A$37,1)+1)-INDEX('Mass attenuation coefficients'!$A$2:$A$37,MATCH($C33,'Mass attenuation coefficients'!$A$2:$A$37,1)))),0.997*$C33*'Mass attenuation coefficients'!$B$2/'Mass attenuation coefficients'!$A$2)</f>
        <v>0.83937237299839995</v>
      </c>
      <c r="I33" s="83">
        <f>_xlfn.IFNA(INDEX('Shultis Faw'!$C$2:$C$26,MATCH($C33,'Shultis Faw'!$A$2:$A$26,1))+($C33-INDEX('Shultis Faw'!$A$2:$A$26,MATCH($C33,'Shultis Faw'!$A$2:$A$26,1)))*(INDEX('Shultis Faw'!$C$2:$C$26,MATCH($C33,'Shultis Faw'!$A$2:$A$26,1)+1)-INDEX('Shultis Faw'!$C$2:$C$26,MATCH($C33,'Shultis Faw'!$A$2:$A$26,1)))/(INDEX('Shultis Faw'!$A$2:$A$26,MATCH($C33,'Shultis Faw'!$A$2:$A$26,1)+1)-INDEX('Shultis Faw'!$A$2:$A$26,MATCH($C33,'Shultis Faw'!$A$2:$A$26,1))),$C33*'Shultis Faw'!$C$2/'Shultis Faw'!$A$2)</f>
        <v>1.4178350400000002</v>
      </c>
      <c r="J33" s="83">
        <f>_xlfn.IFNA(INDEX('Shultis Faw'!$D$2:$D$26,MATCH($C33,'Shultis Faw'!$A$2:$A$26,1))+($C33-INDEX('Shultis Faw'!$A$2:$A$26,MATCH($C33,'Shultis Faw'!$A$2:$A$26,1)))*(INDEX('Shultis Faw'!$D$2:$D$26,MATCH($C33,'Shultis Faw'!$A$2:$A$26,1)+1)-INDEX('Shultis Faw'!$D$2:$D$26,MATCH($C33,'Shultis Faw'!$A$2:$A$26,1)))/(INDEX('Shultis Faw'!$A$2:$A$26,MATCH($C33,'Shultis Faw'!$A$2:$A$26,1)+1)-INDEX('Shultis Faw'!$A$2:$A$26,MATCH($C33,'Shultis Faw'!$A$2:$A$26,1))),$C33*'Shultis Faw'!$D$2/'Shultis Faw'!$A$2)</f>
        <v>0.54578291200000006</v>
      </c>
      <c r="K33" s="83">
        <f>_xlfn.IFNA(INDEX('Shultis Faw'!$B$2:$B$26,MATCH($C33,'Shultis Faw'!$A$2:$A$26,1))+($C33-INDEX('Shultis Faw'!$A$2:$A$26,MATCH($C33,'Shultis Faw'!$A$2:$A$26,1)))*(INDEX('Shultis Faw'!$B$2:$B$26,MATCH($C33,'Shultis Faw'!$A$2:$A$26,1)+1)-INDEX('Shultis Faw'!$B$2:$B$26,MATCH($C33,'Shultis Faw'!$A$2:$A$26,1)))/(INDEX('Shultis Faw'!$A$2:$A$26,MATCH($C33,'Shultis Faw'!$A$2:$A$26,1)+1)-INDEX('Shultis Faw'!$A$2:$A$26,MATCH($C33,'Shultis Faw'!$A$2:$A$26,1))),$C33*'Shultis Faw'!$B$2/'Shultis Faw'!$A$2)</f>
        <v>0.144084832</v>
      </c>
      <c r="L33" s="83">
        <f>_xlfn.IFNA(INDEX('Shultis Faw'!$E$2:$E$26,MATCH($C33,'Shultis Faw'!$A$2:$A$26,1))+($C33-INDEX('Shultis Faw'!$A$2:$A$26,MATCH($C33,'Shultis Faw'!$A$2:$A$26,1)))*(INDEX('Shultis Faw'!$E$2:$E$26,MATCH($C33,'Shultis Faw'!$A$2:$A$26,1)+1)-INDEX('Shultis Faw'!$E$2:$E$26,MATCH($C33,'Shultis Faw'!$A$2:$A$26,1)))/(INDEX('Shultis Faw'!$A$2:$A$26,MATCH($C33,'Shultis Faw'!$A$2:$A$26,1)+1)-INDEX('Shultis Faw'!$A$2:$A$26,MATCH($C33,'Shultis Faw'!$A$2:$A$26,1))),$C33*'Shultis Faw'!$E$2/'Shultis Faw'!$A$2)</f>
        <v>-7.1451900799999996E-2</v>
      </c>
      <c r="M33" s="83">
        <f>_xlfn.IFNA(INDEX('Shultis Faw'!$F$2:$F$26,MATCH($C33,'Shultis Faw'!$A$2:$A$26,1))+($C33-INDEX('Shultis Faw'!$A$2:$A$26,MATCH($C33,'Shultis Faw'!$A$2:$A$26,1)))*(INDEX('Shultis Faw'!$F$2:$F$26,MATCH($C33,'Shultis Faw'!$A$2:$A$26,1)+1)-INDEX('Shultis Faw'!$F$2:$F$26,MATCH($C33,'Shultis Faw'!$A$2:$A$26,1)))/(INDEX('Shultis Faw'!$A$2:$A$26,MATCH($C33,'Shultis Faw'!$A$2:$A$26,1)+1)-INDEX('Shultis Faw'!$A$2:$A$26,MATCH($C33,'Shultis Faw'!$A$2:$A$26,1))),$C33*'Shultis Faw'!$F$2/'Shultis Faw'!$A$2)</f>
        <v>14.83643296</v>
      </c>
      <c r="N33" s="83">
        <f>J33*(H33*'Externe blootstelling'!$D$23/2)^K33+L33*(TANH(((H33*'Externe blootstelling'!$D$23)/(2*M33))-2)-TANH(-2))/(1-TANH(-2))</f>
        <v>0.78087122012608567</v>
      </c>
      <c r="O33" s="83">
        <f>IF(N33=1,1+(I33-1)*H33*'Externe blootstelling'!$D$23/2,1+(I33-1)*(N33^(H33*'Externe blootstelling'!$D$23/2)-1)/(N33-1))</f>
        <v>2.822114164559018</v>
      </c>
      <c r="P33" s="67">
        <f>G33*EXP(-H33*'Externe blootstelling'!$D$23/2)*O33</f>
        <v>2.241800608685417E-12</v>
      </c>
      <c r="Q33" s="68"/>
    </row>
    <row r="34" spans="1:17" x14ac:dyDescent="0.2">
      <c r="A34" s="217"/>
      <c r="B34" s="64" t="s">
        <v>102</v>
      </c>
      <c r="C34" s="65">
        <v>4.0902399999999998E-2</v>
      </c>
      <c r="D34" s="66">
        <f t="shared" si="2"/>
        <v>6.5443840000000001E-15</v>
      </c>
      <c r="E34" s="66">
        <v>0.16600000000000001</v>
      </c>
      <c r="F34" s="66">
        <f>_xlfn.IFNA(INDEX('hp (pSv cm2)'!$B$2:$B$52,MATCH($C34,'hp (pSv cm2)'!$A$2:$A$52,1))+($C34-INDEX('hp (pSv cm2)'!$A$2:$A$52,MATCH($C34,'hp (pSv cm2)'!$A$2:$A$52,1)))*(INDEX('hp (pSv cm2)'!$B$2:$B$52,MATCH($C34,'hp (pSv cm2)'!$A$2:$A$52,1)+1)-INDEX('hp (pSv cm2)'!$B$2:$B$52,MATCH($C34,'hp (pSv cm2)'!$A$2:$A$52,1)))/(INDEX('hp (pSv cm2)'!$A$2:$A$52,MATCH($C34,'hp (pSv cm2)'!$A$2:$A$52,1)+1)-INDEX('hp (pSv cm2)'!$A$2:$A$52,MATCH($C34,'hp (pSv cm2)'!$A$2:$A$52,1))),$C34*'hp (pSv cm2)'!$B$2/'hp (pSv cm2)'!$A$2)</f>
        <v>0.35171455999999995</v>
      </c>
      <c r="G34" s="67">
        <f t="shared" si="3"/>
        <v>5.8384616959999996E-2</v>
      </c>
      <c r="H34" s="83">
        <f>_xlfn.IFNA(0.997*(INDEX('Mass attenuation coefficients'!$B$2:$B$37,MATCH($C34,'Mass attenuation coefficients'!$A$2:$A$37,1))+($C34-INDEX('Mass attenuation coefficients'!$A$2:$A$37,MATCH($C34,'Mass attenuation coefficients'!$A$2:$A$37,1)))*(INDEX('Mass attenuation coefficients'!$B$2:$B$37,MATCH($C34,'Mass attenuation coefficients'!$A$2:$A$37,1)+1)-INDEX('Mass attenuation coefficients'!$B$2:$B$37,MATCH($C34,'Mass attenuation coefficients'!$A$2:$A$37,1)))/(INDEX('Mass attenuation coefficients'!$A$2:$A$37,MATCH($C34,'Mass attenuation coefficients'!$A$2:$A$37,1)+1)-INDEX('Mass attenuation coefficients'!$A$2:$A$37,MATCH($C34,'Mass attenuation coefficients'!$A$2:$A$37,1)))),0.997*$C34*'Mass attenuation coefficients'!$B$2/'Mass attenuation coefficients'!$A$2)</f>
        <v>0.263770371808</v>
      </c>
      <c r="I34" s="83">
        <f>_xlfn.IFNA(INDEX('Shultis Faw'!$C$2:$C$26,MATCH($C34,'Shultis Faw'!$A$2:$A$26,1))+($C34-INDEX('Shultis Faw'!$A$2:$A$26,MATCH($C34,'Shultis Faw'!$A$2:$A$26,1)))*(INDEX('Shultis Faw'!$C$2:$C$26,MATCH($C34,'Shultis Faw'!$A$2:$A$26,1)+1)-INDEX('Shultis Faw'!$C$2:$C$26,MATCH($C34,'Shultis Faw'!$A$2:$A$26,1)))/(INDEX('Shultis Faw'!$A$2:$A$26,MATCH($C34,'Shultis Faw'!$A$2:$A$26,1)+1)-INDEX('Shultis Faw'!$A$2:$A$26,MATCH($C34,'Shultis Faw'!$A$2:$A$26,1))),$C34*'Shultis Faw'!$C$2/'Shultis Faw'!$A$2)</f>
        <v>3.5657961599999997</v>
      </c>
      <c r="J34" s="83">
        <f>_xlfn.IFNA(INDEX('Shultis Faw'!$D$2:$D$26,MATCH($C34,'Shultis Faw'!$A$2:$A$26,1))+($C34-INDEX('Shultis Faw'!$A$2:$A$26,MATCH($C34,'Shultis Faw'!$A$2:$A$26,1)))*(INDEX('Shultis Faw'!$D$2:$D$26,MATCH($C34,'Shultis Faw'!$A$2:$A$26,1)+1)-INDEX('Shultis Faw'!$D$2:$D$26,MATCH($C34,'Shultis Faw'!$A$2:$A$26,1)))/(INDEX('Shultis Faw'!$A$2:$A$26,MATCH($C34,'Shultis Faw'!$A$2:$A$26,1)+1)-INDEX('Shultis Faw'!$A$2:$A$26,MATCH($C34,'Shultis Faw'!$A$2:$A$26,1))),$C34*'Shultis Faw'!$D$2/'Shultis Faw'!$A$2)</f>
        <v>1.1476815999999999</v>
      </c>
      <c r="K34" s="83">
        <f>_xlfn.IFNA(INDEX('Shultis Faw'!$B$2:$B$26,MATCH($C34,'Shultis Faw'!$A$2:$A$26,1))+($C34-INDEX('Shultis Faw'!$A$2:$A$26,MATCH($C34,'Shultis Faw'!$A$2:$A$26,1)))*(INDEX('Shultis Faw'!$B$2:$B$26,MATCH($C34,'Shultis Faw'!$A$2:$A$26,1)+1)-INDEX('Shultis Faw'!$B$2:$B$26,MATCH($C34,'Shultis Faw'!$A$2:$A$26,1)))/(INDEX('Shultis Faw'!$A$2:$A$26,MATCH($C34,'Shultis Faw'!$A$2:$A$26,1)+1)-INDEX('Shultis Faw'!$A$2:$A$26,MATCH($C34,'Shultis Faw'!$A$2:$A$26,1))),$C34*'Shultis Faw'!$B$2/'Shultis Faw'!$A$2)</f>
        <v>-2.4865599999999984E-2</v>
      </c>
      <c r="L34" s="83">
        <f>_xlfn.IFNA(INDEX('Shultis Faw'!$E$2:$E$26,MATCH($C34,'Shultis Faw'!$A$2:$A$26,1))+($C34-INDEX('Shultis Faw'!$A$2:$A$26,MATCH($C34,'Shultis Faw'!$A$2:$A$26,1)))*(INDEX('Shultis Faw'!$E$2:$E$26,MATCH($C34,'Shultis Faw'!$A$2:$A$26,1)+1)-INDEX('Shultis Faw'!$E$2:$E$26,MATCH($C34,'Shultis Faw'!$A$2:$A$26,1)))/(INDEX('Shultis Faw'!$A$2:$A$26,MATCH($C34,'Shultis Faw'!$A$2:$A$26,1)+1)-INDEX('Shultis Faw'!$A$2:$A$26,MATCH($C34,'Shultis Faw'!$A$2:$A$26,1))),$C34*'Shultis Faw'!$E$2/'Shultis Faw'!$A$2)</f>
        <v>5.4425599999999921E-3</v>
      </c>
      <c r="M34" s="83">
        <f>_xlfn.IFNA(INDEX('Shultis Faw'!$F$2:$F$26,MATCH($C34,'Shultis Faw'!$A$2:$A$26,1))+($C34-INDEX('Shultis Faw'!$A$2:$A$26,MATCH($C34,'Shultis Faw'!$A$2:$A$26,1)))*(INDEX('Shultis Faw'!$F$2:$F$26,MATCH($C34,'Shultis Faw'!$A$2:$A$26,1)+1)-INDEX('Shultis Faw'!$F$2:$F$26,MATCH($C34,'Shultis Faw'!$A$2:$A$26,1)))/(INDEX('Shultis Faw'!$A$2:$A$26,MATCH($C34,'Shultis Faw'!$A$2:$A$26,1)+1)-INDEX('Shultis Faw'!$A$2:$A$26,MATCH($C34,'Shultis Faw'!$A$2:$A$26,1))),$C34*'Shultis Faw'!$F$2/'Shultis Faw'!$A$2)</f>
        <v>11.845967999999999</v>
      </c>
      <c r="N34" s="83">
        <f>J34*(H34*'Externe blootstelling'!$D$23/2)^K34+L34*(TANH(((H34*'Externe blootstelling'!$D$23)/(2*M34))-2)-TANH(-2))/(1-TANH(-2))</f>
        <v>1.109186514754896</v>
      </c>
      <c r="O34" s="83">
        <f>IF(N34=1,1+(I34-1)*H34*'Externe blootstelling'!$D$23/2,1+(I34-1)*(N34^(H34*'Externe blootstelling'!$D$23/2)-1)/(N34-1))</f>
        <v>12.910009102123105</v>
      </c>
      <c r="P34" s="67">
        <f>G34*EXP(-H34*'Externe blootstelling'!$D$23/2)*O34</f>
        <v>1.4418322299497924E-2</v>
      </c>
      <c r="Q34" s="68"/>
    </row>
    <row r="35" spans="1:17" x14ac:dyDescent="0.2">
      <c r="A35" s="217"/>
      <c r="B35" s="64" t="s">
        <v>102</v>
      </c>
      <c r="C35" s="65">
        <v>4.1542700000000002E-2</v>
      </c>
      <c r="D35" s="66">
        <f t="shared" si="2"/>
        <v>6.6468320000000004E-15</v>
      </c>
      <c r="E35" s="66">
        <v>0.3</v>
      </c>
      <c r="F35" s="66">
        <f>_xlfn.IFNA(INDEX('hp (pSv cm2)'!$B$2:$B$52,MATCH($C35,'hp (pSv cm2)'!$A$2:$A$52,1))+($C35-INDEX('hp (pSv cm2)'!$A$2:$A$52,MATCH($C35,'hp (pSv cm2)'!$A$2:$A$52,1)))*(INDEX('hp (pSv cm2)'!$B$2:$B$52,MATCH($C35,'hp (pSv cm2)'!$A$2:$A$52,1)+1)-INDEX('hp (pSv cm2)'!$B$2:$B$52,MATCH($C35,'hp (pSv cm2)'!$A$2:$A$52,1)))/(INDEX('hp (pSv cm2)'!$A$2:$A$52,MATCH($C35,'hp (pSv cm2)'!$A$2:$A$52,1)+1)-INDEX('hp (pSv cm2)'!$A$2:$A$52,MATCH($C35,'hp (pSv cm2)'!$A$2:$A$52,1))),$C35*'hp (pSv cm2)'!$B$2/'hp (pSv cm2)'!$A$2)</f>
        <v>0.35293112999999998</v>
      </c>
      <c r="G35" s="67">
        <f t="shared" si="3"/>
        <v>0.10587933899999999</v>
      </c>
      <c r="H35" s="83">
        <f>_xlfn.IFNA(0.997*(INDEX('Mass attenuation coefficients'!$B$2:$B$37,MATCH($C35,'Mass attenuation coefficients'!$A$2:$A$37,1))+($C35-INDEX('Mass attenuation coefficients'!$A$2:$A$37,MATCH($C35,'Mass attenuation coefficients'!$A$2:$A$37,1)))*(INDEX('Mass attenuation coefficients'!$B$2:$B$37,MATCH($C35,'Mass attenuation coefficients'!$A$2:$A$37,1)+1)-INDEX('Mass attenuation coefficients'!$B$2:$B$37,MATCH($C35,'Mass attenuation coefficients'!$A$2:$A$37,1)))/(INDEX('Mass attenuation coefficients'!$A$2:$A$37,MATCH($C35,'Mass attenuation coefficients'!$A$2:$A$37,1)+1)-INDEX('Mass attenuation coefficients'!$A$2:$A$37,MATCH($C35,'Mass attenuation coefficients'!$A$2:$A$37,1)))),0.997*$C35*'Mass attenuation coefficients'!$B$2/'Mass attenuation coefficients'!$A$2)</f>
        <v>0.26112748233400002</v>
      </c>
      <c r="I35" s="83">
        <f>_xlfn.IFNA(INDEX('Shultis Faw'!$C$2:$C$26,MATCH($C35,'Shultis Faw'!$A$2:$A$26,1))+($C35-INDEX('Shultis Faw'!$A$2:$A$26,MATCH($C35,'Shultis Faw'!$A$2:$A$26,1)))*(INDEX('Shultis Faw'!$C$2:$C$26,MATCH($C35,'Shultis Faw'!$A$2:$A$26,1)+1)-INDEX('Shultis Faw'!$C$2:$C$26,MATCH($C35,'Shultis Faw'!$A$2:$A$26,1)))/(INDEX('Shultis Faw'!$A$2:$A$26,MATCH($C35,'Shultis Faw'!$A$2:$A$26,1)+1)-INDEX('Shultis Faw'!$A$2:$A$26,MATCH($C35,'Shultis Faw'!$A$2:$A$26,1))),$C35*'Shultis Faw'!$C$2/'Shultis Faw'!$A$2)</f>
        <v>3.62880168</v>
      </c>
      <c r="J35" s="83">
        <f>_xlfn.IFNA(INDEX('Shultis Faw'!$D$2:$D$26,MATCH($C35,'Shultis Faw'!$A$2:$A$26,1))+($C35-INDEX('Shultis Faw'!$A$2:$A$26,MATCH($C35,'Shultis Faw'!$A$2:$A$26,1)))*(INDEX('Shultis Faw'!$D$2:$D$26,MATCH($C35,'Shultis Faw'!$A$2:$A$26,1)+1)-INDEX('Shultis Faw'!$D$2:$D$26,MATCH($C35,'Shultis Faw'!$A$2:$A$26,1)))/(INDEX('Shultis Faw'!$A$2:$A$26,MATCH($C35,'Shultis Faw'!$A$2:$A$26,1)+1)-INDEX('Shultis Faw'!$A$2:$A$26,MATCH($C35,'Shultis Faw'!$A$2:$A$26,1))),$C35*'Shultis Faw'!$D$2/'Shultis Faw'!$A$2)</f>
        <v>1.1694518</v>
      </c>
      <c r="K35" s="83">
        <f>_xlfn.IFNA(INDEX('Shultis Faw'!$B$2:$B$26,MATCH($C35,'Shultis Faw'!$A$2:$A$26,1))+($C35-INDEX('Shultis Faw'!$A$2:$A$26,MATCH($C35,'Shultis Faw'!$A$2:$A$26,1)))*(INDEX('Shultis Faw'!$B$2:$B$26,MATCH($C35,'Shultis Faw'!$A$2:$A$26,1)+1)-INDEX('Shultis Faw'!$B$2:$B$26,MATCH($C35,'Shultis Faw'!$A$2:$A$26,1)))/(INDEX('Shultis Faw'!$A$2:$A$26,MATCH($C35,'Shultis Faw'!$A$2:$A$26,1)+1)-INDEX('Shultis Faw'!$A$2:$A$26,MATCH($C35,'Shultis Faw'!$A$2:$A$26,1))),$C35*'Shultis Faw'!$B$2/'Shultis Faw'!$A$2)</f>
        <v>-2.9027550000000006E-2</v>
      </c>
      <c r="L35" s="83">
        <f>_xlfn.IFNA(INDEX('Shultis Faw'!$E$2:$E$26,MATCH($C35,'Shultis Faw'!$A$2:$A$26,1))+($C35-INDEX('Shultis Faw'!$A$2:$A$26,MATCH($C35,'Shultis Faw'!$A$2:$A$26,1)))*(INDEX('Shultis Faw'!$E$2:$E$26,MATCH($C35,'Shultis Faw'!$A$2:$A$26,1)+1)-INDEX('Shultis Faw'!$E$2:$E$26,MATCH($C35,'Shultis Faw'!$A$2:$A$26,1)))/(INDEX('Shultis Faw'!$A$2:$A$26,MATCH($C35,'Shultis Faw'!$A$2:$A$26,1)+1)-INDEX('Shultis Faw'!$A$2:$A$26,MATCH($C35,'Shultis Faw'!$A$2:$A$26,1))),$C35*'Shultis Faw'!$E$2/'Shultis Faw'!$A$2)</f>
        <v>7.4595050000000026E-3</v>
      </c>
      <c r="M35" s="83">
        <f>_xlfn.IFNA(INDEX('Shultis Faw'!$F$2:$F$26,MATCH($C35,'Shultis Faw'!$A$2:$A$26,1))+($C35-INDEX('Shultis Faw'!$A$2:$A$26,MATCH($C35,'Shultis Faw'!$A$2:$A$26,1)))*(INDEX('Shultis Faw'!$F$2:$F$26,MATCH($C35,'Shultis Faw'!$A$2:$A$26,1)+1)-INDEX('Shultis Faw'!$F$2:$F$26,MATCH($C35,'Shultis Faw'!$A$2:$A$26,1)))/(INDEX('Shultis Faw'!$A$2:$A$26,MATCH($C35,'Shultis Faw'!$A$2:$A$26,1)+1)-INDEX('Shultis Faw'!$A$2:$A$26,MATCH($C35,'Shultis Faw'!$A$2:$A$26,1))),$C35*'Shultis Faw'!$F$2/'Shultis Faw'!$A$2)</f>
        <v>11.970826499999999</v>
      </c>
      <c r="N35" s="83">
        <f>J35*(H35*'Externe blootstelling'!$D$23/2)^K35+L35*(TANH(((H35*'Externe blootstelling'!$D$23)/(2*M35))-2)-TANH(-2))/(1-TANH(-2))</f>
        <v>1.1241330964549763</v>
      </c>
      <c r="O35" s="83">
        <f>IF(N35=1,1+(I35-1)*H35*'Externe blootstelling'!$D$23/2,1+(I35-1)*(N35^(H35*'Externe blootstelling'!$D$23/2)-1)/(N35-1))</f>
        <v>13.313002039155862</v>
      </c>
      <c r="P35" s="67">
        <f>G35*EXP(-H35*'Externe blootstelling'!$D$23/2)*O35</f>
        <v>2.8053939115464856E-2</v>
      </c>
      <c r="Q35" s="68"/>
    </row>
    <row r="36" spans="1:17" x14ac:dyDescent="0.2">
      <c r="A36" s="217"/>
      <c r="B36" s="64" t="s">
        <v>102</v>
      </c>
      <c r="C36" s="65">
        <v>4.7105099999999997E-2</v>
      </c>
      <c r="D36" s="66">
        <f t="shared" si="2"/>
        <v>7.5368159999999992E-15</v>
      </c>
      <c r="E36" s="66">
        <v>9.4499999999999987E-2</v>
      </c>
      <c r="F36" s="66">
        <f>_xlfn.IFNA(INDEX('hp (pSv cm2)'!$B$2:$B$52,MATCH($C36,'hp (pSv cm2)'!$A$2:$A$52,1))+($C36-INDEX('hp (pSv cm2)'!$A$2:$A$52,MATCH($C36,'hp (pSv cm2)'!$A$2:$A$52,1)))*(INDEX('hp (pSv cm2)'!$B$2:$B$52,MATCH($C36,'hp (pSv cm2)'!$A$2:$A$52,1)+1)-INDEX('hp (pSv cm2)'!$B$2:$B$52,MATCH($C36,'hp (pSv cm2)'!$A$2:$A$52,1)))/(INDEX('hp (pSv cm2)'!$A$2:$A$52,MATCH($C36,'hp (pSv cm2)'!$A$2:$A$52,1)+1)-INDEX('hp (pSv cm2)'!$A$2:$A$52,MATCH($C36,'hp (pSv cm2)'!$A$2:$A$52,1))),$C36*'hp (pSv cm2)'!$B$2/'hp (pSv cm2)'!$A$2)</f>
        <v>0.36349968999999999</v>
      </c>
      <c r="G36" s="67">
        <f t="shared" si="3"/>
        <v>3.4350720704999997E-2</v>
      </c>
      <c r="H36" s="83">
        <f>_xlfn.IFNA(0.997*(INDEX('Mass attenuation coefficients'!$B$2:$B$37,MATCH($C36,'Mass attenuation coefficients'!$A$2:$A$37,1))+($C36-INDEX('Mass attenuation coefficients'!$A$2:$A$37,MATCH($C36,'Mass attenuation coefficients'!$A$2:$A$37,1)))*(INDEX('Mass attenuation coefficients'!$B$2:$B$37,MATCH($C36,'Mass attenuation coefficients'!$A$2:$A$37,1)+1)-INDEX('Mass attenuation coefficients'!$B$2:$B$37,MATCH($C36,'Mass attenuation coefficients'!$A$2:$A$37,1)))/(INDEX('Mass attenuation coefficients'!$A$2:$A$37,MATCH($C36,'Mass attenuation coefficients'!$A$2:$A$37,1)+1)-INDEX('Mass attenuation coefficients'!$A$2:$A$37,MATCH($C36,'Mass attenuation coefficients'!$A$2:$A$37,1)))),0.997*$C36*'Mass attenuation coefficients'!$B$2/'Mass attenuation coefficients'!$A$2)</f>
        <v>0.23816823134200002</v>
      </c>
      <c r="I36" s="83">
        <f>_xlfn.IFNA(INDEX('Shultis Faw'!$C$2:$C$26,MATCH($C36,'Shultis Faw'!$A$2:$A$26,1))+($C36-INDEX('Shultis Faw'!$A$2:$A$26,MATCH($C36,'Shultis Faw'!$A$2:$A$26,1)))*(INDEX('Shultis Faw'!$C$2:$C$26,MATCH($C36,'Shultis Faw'!$A$2:$A$26,1)+1)-INDEX('Shultis Faw'!$C$2:$C$26,MATCH($C36,'Shultis Faw'!$A$2:$A$26,1)))/(INDEX('Shultis Faw'!$A$2:$A$26,MATCH($C36,'Shultis Faw'!$A$2:$A$26,1)+1)-INDEX('Shultis Faw'!$A$2:$A$26,MATCH($C36,'Shultis Faw'!$A$2:$A$26,1))),$C36*'Shultis Faw'!$C$2/'Shultis Faw'!$A$2)</f>
        <v>4.1761418399999997</v>
      </c>
      <c r="J36" s="83">
        <f>_xlfn.IFNA(INDEX('Shultis Faw'!$D$2:$D$26,MATCH($C36,'Shultis Faw'!$A$2:$A$26,1))+($C36-INDEX('Shultis Faw'!$A$2:$A$26,MATCH($C36,'Shultis Faw'!$A$2:$A$26,1)))*(INDEX('Shultis Faw'!$D$2:$D$26,MATCH($C36,'Shultis Faw'!$A$2:$A$26,1)+1)-INDEX('Shultis Faw'!$D$2:$D$26,MATCH($C36,'Shultis Faw'!$A$2:$A$26,1)))/(INDEX('Shultis Faw'!$A$2:$A$26,MATCH($C36,'Shultis Faw'!$A$2:$A$26,1)+1)-INDEX('Shultis Faw'!$A$2:$A$26,MATCH($C36,'Shultis Faw'!$A$2:$A$26,1))),$C36*'Shultis Faw'!$D$2/'Shultis Faw'!$A$2)</f>
        <v>1.3585733999999998</v>
      </c>
      <c r="K36" s="83">
        <f>_xlfn.IFNA(INDEX('Shultis Faw'!$B$2:$B$26,MATCH($C36,'Shultis Faw'!$A$2:$A$26,1))+($C36-INDEX('Shultis Faw'!$A$2:$A$26,MATCH($C36,'Shultis Faw'!$A$2:$A$26,1)))*(INDEX('Shultis Faw'!$B$2:$B$26,MATCH($C36,'Shultis Faw'!$A$2:$A$26,1)+1)-INDEX('Shultis Faw'!$B$2:$B$26,MATCH($C36,'Shultis Faw'!$A$2:$A$26,1)))/(INDEX('Shultis Faw'!$A$2:$A$26,MATCH($C36,'Shultis Faw'!$A$2:$A$26,1)+1)-INDEX('Shultis Faw'!$A$2:$A$26,MATCH($C36,'Shultis Faw'!$A$2:$A$26,1))),$C36*'Shultis Faw'!$B$2/'Shultis Faw'!$A$2)</f>
        <v>-6.5183149999999968E-2</v>
      </c>
      <c r="L36" s="83">
        <f>_xlfn.IFNA(INDEX('Shultis Faw'!$E$2:$E$26,MATCH($C36,'Shultis Faw'!$A$2:$A$26,1))+($C36-INDEX('Shultis Faw'!$A$2:$A$26,MATCH($C36,'Shultis Faw'!$A$2:$A$26,1)))*(INDEX('Shultis Faw'!$E$2:$E$26,MATCH($C36,'Shultis Faw'!$A$2:$A$26,1)+1)-INDEX('Shultis Faw'!$E$2:$E$26,MATCH($C36,'Shultis Faw'!$A$2:$A$26,1)))/(INDEX('Shultis Faw'!$A$2:$A$26,MATCH($C36,'Shultis Faw'!$A$2:$A$26,1)+1)-INDEX('Shultis Faw'!$A$2:$A$26,MATCH($C36,'Shultis Faw'!$A$2:$A$26,1))),$C36*'Shultis Faw'!$E$2/'Shultis Faw'!$A$2)</f>
        <v>2.4981064999999983E-2</v>
      </c>
      <c r="M36" s="83">
        <f>_xlfn.IFNA(INDEX('Shultis Faw'!$F$2:$F$26,MATCH($C36,'Shultis Faw'!$A$2:$A$26,1))+($C36-INDEX('Shultis Faw'!$A$2:$A$26,MATCH($C36,'Shultis Faw'!$A$2:$A$26,1)))*(INDEX('Shultis Faw'!$F$2:$F$26,MATCH($C36,'Shultis Faw'!$A$2:$A$26,1)+1)-INDEX('Shultis Faw'!$F$2:$F$26,MATCH($C36,'Shultis Faw'!$A$2:$A$26,1)))/(INDEX('Shultis Faw'!$A$2:$A$26,MATCH($C36,'Shultis Faw'!$A$2:$A$26,1)+1)-INDEX('Shultis Faw'!$A$2:$A$26,MATCH($C36,'Shultis Faw'!$A$2:$A$26,1))),$C36*'Shultis Faw'!$F$2/'Shultis Faw'!$A$2)</f>
        <v>13.055494499999998</v>
      </c>
      <c r="N36" s="83">
        <f>J36*(H36*'Externe blootstelling'!$D$23/2)^K36+L36*(TANH(((H36*'Externe blootstelling'!$D$23)/(2*M36))-2)-TANH(-2))/(1-TANH(-2))</f>
        <v>1.2506928367898524</v>
      </c>
      <c r="O36" s="83">
        <f>IF(N36=1,1+(I36-1)*H36*'Externe blootstelling'!$D$23/2,1+(I36-1)*(N36^(H36*'Externe blootstelling'!$D$23/2)-1)/(N36-1))</f>
        <v>16.503407269726509</v>
      </c>
      <c r="P36" s="67">
        <f>G36*EXP(-H36*'Externe blootstelling'!$D$23/2)*O36</f>
        <v>1.5921436206520301E-2</v>
      </c>
      <c r="Q36" s="68"/>
    </row>
    <row r="37" spans="1:17" x14ac:dyDescent="0.2">
      <c r="A37" s="217"/>
      <c r="B37" s="64" t="s">
        <v>102</v>
      </c>
      <c r="C37" s="65">
        <v>4.8379999999999999E-2</v>
      </c>
      <c r="D37" s="66">
        <f t="shared" si="2"/>
        <v>7.7407999999999999E-15</v>
      </c>
      <c r="E37" s="66">
        <v>2.4399999999999998E-2</v>
      </c>
      <c r="F37" s="66">
        <f>_xlfn.IFNA(INDEX('hp (pSv cm2)'!$B$2:$B$52,MATCH($C37,'hp (pSv cm2)'!$A$2:$A$52,1))+($C37-INDEX('hp (pSv cm2)'!$A$2:$A$52,MATCH($C37,'hp (pSv cm2)'!$A$2:$A$52,1)))*(INDEX('hp (pSv cm2)'!$B$2:$B$52,MATCH($C37,'hp (pSv cm2)'!$A$2:$A$52,1)+1)-INDEX('hp (pSv cm2)'!$B$2:$B$52,MATCH($C37,'hp (pSv cm2)'!$A$2:$A$52,1)))/(INDEX('hp (pSv cm2)'!$A$2:$A$52,MATCH($C37,'hp (pSv cm2)'!$A$2:$A$52,1)+1)-INDEX('hp (pSv cm2)'!$A$2:$A$52,MATCH($C37,'hp (pSv cm2)'!$A$2:$A$52,1))),$C37*'hp (pSv cm2)'!$B$2/'hp (pSv cm2)'!$A$2)</f>
        <v>0.36592199999999997</v>
      </c>
      <c r="G37" s="67">
        <f t="shared" si="3"/>
        <v>8.9284967999999978E-3</v>
      </c>
      <c r="H37" s="83">
        <f>_xlfn.IFNA(0.997*(INDEX('Mass attenuation coefficients'!$B$2:$B$37,MATCH($C37,'Mass attenuation coefficients'!$A$2:$A$37,1))+($C37-INDEX('Mass attenuation coefficients'!$A$2:$A$37,MATCH($C37,'Mass attenuation coefficients'!$A$2:$A$37,1)))*(INDEX('Mass attenuation coefficients'!$B$2:$B$37,MATCH($C37,'Mass attenuation coefficients'!$A$2:$A$37,1)+1)-INDEX('Mass attenuation coefficients'!$B$2:$B$37,MATCH($C37,'Mass attenuation coefficients'!$A$2:$A$37,1)))/(INDEX('Mass attenuation coefficients'!$A$2:$A$37,MATCH($C37,'Mass attenuation coefficients'!$A$2:$A$37,1)+1)-INDEX('Mass attenuation coefficients'!$A$2:$A$37,MATCH($C37,'Mass attenuation coefficients'!$A$2:$A$37,1)))),0.997*$C37*'Mass attenuation coefficients'!$B$2/'Mass attenuation coefficients'!$A$2)</f>
        <v>0.23290597960000001</v>
      </c>
      <c r="I37" s="83">
        <f>_xlfn.IFNA(INDEX('Shultis Faw'!$C$2:$C$26,MATCH($C37,'Shultis Faw'!$A$2:$A$26,1))+($C37-INDEX('Shultis Faw'!$A$2:$A$26,MATCH($C37,'Shultis Faw'!$A$2:$A$26,1)))*(INDEX('Shultis Faw'!$C$2:$C$26,MATCH($C37,'Shultis Faw'!$A$2:$A$26,1)+1)-INDEX('Shultis Faw'!$C$2:$C$26,MATCH($C37,'Shultis Faw'!$A$2:$A$26,1)))/(INDEX('Shultis Faw'!$A$2:$A$26,MATCH($C37,'Shultis Faw'!$A$2:$A$26,1)+1)-INDEX('Shultis Faw'!$A$2:$A$26,MATCH($C37,'Shultis Faw'!$A$2:$A$26,1))),$C37*'Shultis Faw'!$C$2/'Shultis Faw'!$A$2)</f>
        <v>4.3015919999999994</v>
      </c>
      <c r="J37" s="83">
        <f>_xlfn.IFNA(INDEX('Shultis Faw'!$D$2:$D$26,MATCH($C37,'Shultis Faw'!$A$2:$A$26,1))+($C37-INDEX('Shultis Faw'!$A$2:$A$26,MATCH($C37,'Shultis Faw'!$A$2:$A$26,1)))*(INDEX('Shultis Faw'!$D$2:$D$26,MATCH($C37,'Shultis Faw'!$A$2:$A$26,1)+1)-INDEX('Shultis Faw'!$D$2:$D$26,MATCH($C37,'Shultis Faw'!$A$2:$A$26,1)))/(INDEX('Shultis Faw'!$A$2:$A$26,MATCH($C37,'Shultis Faw'!$A$2:$A$26,1)+1)-INDEX('Shultis Faw'!$A$2:$A$26,MATCH($C37,'Shultis Faw'!$A$2:$A$26,1))),$C37*'Shultis Faw'!$D$2/'Shultis Faw'!$A$2)</f>
        <v>1.4019200000000001</v>
      </c>
      <c r="K37" s="83">
        <f>_xlfn.IFNA(INDEX('Shultis Faw'!$B$2:$B$26,MATCH($C37,'Shultis Faw'!$A$2:$A$26,1))+($C37-INDEX('Shultis Faw'!$A$2:$A$26,MATCH($C37,'Shultis Faw'!$A$2:$A$26,1)))*(INDEX('Shultis Faw'!$B$2:$B$26,MATCH($C37,'Shultis Faw'!$A$2:$A$26,1)+1)-INDEX('Shultis Faw'!$B$2:$B$26,MATCH($C37,'Shultis Faw'!$A$2:$A$26,1)))/(INDEX('Shultis Faw'!$A$2:$A$26,MATCH($C37,'Shultis Faw'!$A$2:$A$26,1)+1)-INDEX('Shultis Faw'!$A$2:$A$26,MATCH($C37,'Shultis Faw'!$A$2:$A$26,1))),$C37*'Shultis Faw'!$B$2/'Shultis Faw'!$A$2)</f>
        <v>-7.346999999999998E-2</v>
      </c>
      <c r="L37" s="83">
        <f>_xlfn.IFNA(INDEX('Shultis Faw'!$E$2:$E$26,MATCH($C37,'Shultis Faw'!$A$2:$A$26,1))+($C37-INDEX('Shultis Faw'!$A$2:$A$26,MATCH($C37,'Shultis Faw'!$A$2:$A$26,1)))*(INDEX('Shultis Faw'!$E$2:$E$26,MATCH($C37,'Shultis Faw'!$A$2:$A$26,1)+1)-INDEX('Shultis Faw'!$E$2:$E$26,MATCH($C37,'Shultis Faw'!$A$2:$A$26,1)))/(INDEX('Shultis Faw'!$A$2:$A$26,MATCH($C37,'Shultis Faw'!$A$2:$A$26,1)+1)-INDEX('Shultis Faw'!$A$2:$A$26,MATCH($C37,'Shultis Faw'!$A$2:$A$26,1))),$C37*'Shultis Faw'!$E$2/'Shultis Faw'!$A$2)</f>
        <v>2.8996999999999995E-2</v>
      </c>
      <c r="M37" s="83">
        <f>_xlfn.IFNA(INDEX('Shultis Faw'!$F$2:$F$26,MATCH($C37,'Shultis Faw'!$A$2:$A$26,1))+($C37-INDEX('Shultis Faw'!$A$2:$A$26,MATCH($C37,'Shultis Faw'!$A$2:$A$26,1)))*(INDEX('Shultis Faw'!$F$2:$F$26,MATCH($C37,'Shultis Faw'!$A$2:$A$26,1)+1)-INDEX('Shultis Faw'!$F$2:$F$26,MATCH($C37,'Shultis Faw'!$A$2:$A$26,1)))/(INDEX('Shultis Faw'!$A$2:$A$26,MATCH($C37,'Shultis Faw'!$A$2:$A$26,1)+1)-INDEX('Shultis Faw'!$A$2:$A$26,MATCH($C37,'Shultis Faw'!$A$2:$A$26,1))),$C37*'Shultis Faw'!$F$2/'Shultis Faw'!$A$2)</f>
        <v>13.304099999999998</v>
      </c>
      <c r="N37" s="83">
        <f>J37*(H37*'Externe blootstelling'!$D$23/2)^K37+L37*(TANH(((H37*'Externe blootstelling'!$D$23)/(2*M37))-2)-TANH(-2))/(1-TANH(-2))</f>
        <v>1.2791747492884589</v>
      </c>
      <c r="O37" s="83">
        <f>IF(N37=1,1+(I37-1)*H37*'Externe blootstelling'!$D$23/2,1+(I37-1)*(N37^(H37*'Externe blootstelling'!$D$23/2)-1)/(N37-1))</f>
        <v>17.12596949762165</v>
      </c>
      <c r="P37" s="67">
        <f>G37*EXP(-H37*'Externe blootstelling'!$D$23/2)*O37</f>
        <v>4.6471510331835622E-3</v>
      </c>
      <c r="Q37" s="68"/>
    </row>
    <row r="38" spans="1:17" x14ac:dyDescent="0.2">
      <c r="A38" s="217"/>
      <c r="B38" s="64" t="s">
        <v>104</v>
      </c>
      <c r="C38" s="65">
        <v>5.4193600000000001E-2</v>
      </c>
      <c r="D38" s="66">
        <f t="shared" si="2"/>
        <v>8.6709759999999987E-15</v>
      </c>
      <c r="E38" s="66">
        <v>1.9000000000000001E-5</v>
      </c>
      <c r="F38" s="66">
        <f>_xlfn.IFNA(INDEX('hp (pSv cm2)'!$B$2:$B$52,MATCH($C38,'hp (pSv cm2)'!$A$2:$A$52,1))+($C38-INDEX('hp (pSv cm2)'!$A$2:$A$52,MATCH($C38,'hp (pSv cm2)'!$A$2:$A$52,1)))*(INDEX('hp (pSv cm2)'!$B$2:$B$52,MATCH($C38,'hp (pSv cm2)'!$A$2:$A$52,1)+1)-INDEX('hp (pSv cm2)'!$B$2:$B$52,MATCH($C38,'hp (pSv cm2)'!$A$2:$A$52,1)))/(INDEX('hp (pSv cm2)'!$A$2:$A$52,MATCH($C38,'hp (pSv cm2)'!$A$2:$A$52,1)+1)-INDEX('hp (pSv cm2)'!$A$2:$A$52,MATCH($C38,'hp (pSv cm2)'!$A$2:$A$52,1))),$C38*'hp (pSv cm2)'!$B$2/'hp (pSv cm2)'!$A$2)</f>
        <v>0.37738719999999998</v>
      </c>
      <c r="G38" s="67">
        <f t="shared" si="3"/>
        <v>7.1703568E-6</v>
      </c>
      <c r="H38" s="83">
        <f>_xlfn.IFNA(0.997*(INDEX('Mass attenuation coefficients'!$B$2:$B$37,MATCH($C38,'Mass attenuation coefficients'!$A$2:$A$37,1))+($C38-INDEX('Mass attenuation coefficients'!$A$2:$A$37,MATCH($C38,'Mass attenuation coefficients'!$A$2:$A$37,1)))*(INDEX('Mass attenuation coefficients'!$B$2:$B$37,MATCH($C38,'Mass attenuation coefficients'!$A$2:$A$37,1)+1)-INDEX('Mass attenuation coefficients'!$B$2:$B$37,MATCH($C38,'Mass attenuation coefficients'!$A$2:$A$37,1)))/(INDEX('Mass attenuation coefficients'!$A$2:$A$37,MATCH($C38,'Mass attenuation coefficients'!$A$2:$A$37,1)+1)-INDEX('Mass attenuation coefficients'!$A$2:$A$37,MATCH($C38,'Mass attenuation coefficients'!$A$2:$A$37,1)))),0.997*$C38*'Mass attenuation coefficients'!$B$2/'Mass attenuation coefficients'!$A$2)</f>
        <v>0.21743915967999999</v>
      </c>
      <c r="I38" s="83">
        <f>_xlfn.IFNA(INDEX('Shultis Faw'!$C$2:$C$26,MATCH($C38,'Shultis Faw'!$A$2:$A$26,1))+($C38-INDEX('Shultis Faw'!$A$2:$A$26,MATCH($C38,'Shultis Faw'!$A$2:$A$26,1)))*(INDEX('Shultis Faw'!$C$2:$C$26,MATCH($C38,'Shultis Faw'!$A$2:$A$26,1)+1)-INDEX('Shultis Faw'!$C$2:$C$26,MATCH($C38,'Shultis Faw'!$A$2:$A$26,1)))/(INDEX('Shultis Faw'!$A$2:$A$26,MATCH($C38,'Shultis Faw'!$A$2:$A$26,1)+1)-INDEX('Shultis Faw'!$A$2:$A$26,MATCH($C38,'Shultis Faw'!$A$2:$A$26,1))),$C38*'Shultis Faw'!$C$2/'Shultis Faw'!$A$2)</f>
        <v>4.6799059200000004</v>
      </c>
      <c r="J38" s="83">
        <f>_xlfn.IFNA(INDEX('Shultis Faw'!$D$2:$D$26,MATCH($C38,'Shultis Faw'!$A$2:$A$26,1))+($C38-INDEX('Shultis Faw'!$A$2:$A$26,MATCH($C38,'Shultis Faw'!$A$2:$A$26,1)))*(INDEX('Shultis Faw'!$D$2:$D$26,MATCH($C38,'Shultis Faw'!$A$2:$A$26,1)+1)-INDEX('Shultis Faw'!$D$2:$D$26,MATCH($C38,'Shultis Faw'!$A$2:$A$26,1)))/(INDEX('Shultis Faw'!$A$2:$A$26,MATCH($C38,'Shultis Faw'!$A$2:$A$26,1)+1)-INDEX('Shultis Faw'!$A$2:$A$26,MATCH($C38,'Shultis Faw'!$A$2:$A$26,1))),$C38*'Shultis Faw'!$D$2/'Shultis Faw'!$A$2)</f>
        <v>1.5714852800000001</v>
      </c>
      <c r="K38" s="83">
        <f>_xlfn.IFNA(INDEX('Shultis Faw'!$B$2:$B$26,MATCH($C38,'Shultis Faw'!$A$2:$A$26,1))+($C38-INDEX('Shultis Faw'!$A$2:$A$26,MATCH($C38,'Shultis Faw'!$A$2:$A$26,1)))*(INDEX('Shultis Faw'!$B$2:$B$26,MATCH($C38,'Shultis Faw'!$A$2:$A$26,1)+1)-INDEX('Shultis Faw'!$B$2:$B$26,MATCH($C38,'Shultis Faw'!$A$2:$A$26,1)))/(INDEX('Shultis Faw'!$A$2:$A$26,MATCH($C38,'Shultis Faw'!$A$2:$A$26,1)+1)-INDEX('Shultis Faw'!$A$2:$A$26,MATCH($C38,'Shultis Faw'!$A$2:$A$26,1))),$C38*'Shultis Faw'!$B$2/'Shultis Faw'!$A$2)</f>
        <v>-0.10161312</v>
      </c>
      <c r="L38" s="83">
        <f>_xlfn.IFNA(INDEX('Shultis Faw'!$E$2:$E$26,MATCH($C38,'Shultis Faw'!$A$2:$A$26,1))+($C38-INDEX('Shultis Faw'!$A$2:$A$26,MATCH($C38,'Shultis Faw'!$A$2:$A$26,1)))*(INDEX('Shultis Faw'!$E$2:$E$26,MATCH($C38,'Shultis Faw'!$A$2:$A$26,1)+1)-INDEX('Shultis Faw'!$E$2:$E$26,MATCH($C38,'Shultis Faw'!$A$2:$A$26,1)))/(INDEX('Shultis Faw'!$A$2:$A$26,MATCH($C38,'Shultis Faw'!$A$2:$A$26,1)+1)-INDEX('Shultis Faw'!$A$2:$A$26,MATCH($C38,'Shultis Faw'!$A$2:$A$26,1))),$C38*'Shultis Faw'!$E$2/'Shultis Faw'!$A$2)</f>
        <v>4.3325920000000004E-2</v>
      </c>
      <c r="M38" s="83">
        <f>_xlfn.IFNA(INDEX('Shultis Faw'!$F$2:$F$26,MATCH($C38,'Shultis Faw'!$A$2:$A$26,1))+($C38-INDEX('Shultis Faw'!$A$2:$A$26,MATCH($C38,'Shultis Faw'!$A$2:$A$26,1)))*(INDEX('Shultis Faw'!$F$2:$F$26,MATCH($C38,'Shultis Faw'!$A$2:$A$26,1)+1)-INDEX('Shultis Faw'!$F$2:$F$26,MATCH($C38,'Shultis Faw'!$A$2:$A$26,1)))/(INDEX('Shultis Faw'!$A$2:$A$26,MATCH($C38,'Shultis Faw'!$A$2:$A$26,1)+1)-INDEX('Shultis Faw'!$A$2:$A$26,MATCH($C38,'Shultis Faw'!$A$2:$A$26,1))),$C38*'Shultis Faw'!$F$2/'Shultis Faw'!$A$2)</f>
        <v>13.628387200000001</v>
      </c>
      <c r="N38" s="83">
        <f>J38*(H38*'Externe blootstelling'!$D$23/2)^K38+L38*(TANH(((H38*'Externe blootstelling'!$D$23)/(2*M38))-2)-TANH(-2))/(1-TANH(-2))</f>
        <v>1.3940765451027275</v>
      </c>
      <c r="O38" s="83">
        <f>IF(N38=1,1+(I38-1)*H38*'Externe blootstelling'!$D$23/2,1+(I38-1)*(N38^(H38*'Externe blootstelling'!$D$23/2)-1)/(N38-1))</f>
        <v>19.258803842558105</v>
      </c>
      <c r="P38" s="67">
        <f>G38*EXP(-H38*'Externe blootstelling'!$D$23/2)*O38</f>
        <v>5.2927413207577854E-6</v>
      </c>
      <c r="Q38" s="68"/>
    </row>
    <row r="39" spans="1:17" x14ac:dyDescent="0.2">
      <c r="A39" s="217"/>
      <c r="B39" s="64" t="s">
        <v>104</v>
      </c>
      <c r="C39" s="65">
        <v>6.825740000000001E-2</v>
      </c>
      <c r="D39" s="66">
        <f t="shared" si="2"/>
        <v>1.0921184000000001E-14</v>
      </c>
      <c r="E39" s="66">
        <v>1.2999999999999999E-5</v>
      </c>
      <c r="F39" s="66">
        <f>_xlfn.IFNA(INDEX('hp (pSv cm2)'!$B$2:$B$52,MATCH($C39,'hp (pSv cm2)'!$A$2:$A$52,1))+($C39-INDEX('hp (pSv cm2)'!$A$2:$A$52,MATCH($C39,'hp (pSv cm2)'!$A$2:$A$52,1)))*(INDEX('hp (pSv cm2)'!$B$2:$B$52,MATCH($C39,'hp (pSv cm2)'!$A$2:$A$52,1)+1)-INDEX('hp (pSv cm2)'!$B$2:$B$52,MATCH($C39,'hp (pSv cm2)'!$A$2:$A$52,1)))/(INDEX('hp (pSv cm2)'!$A$2:$A$52,MATCH($C39,'hp (pSv cm2)'!$A$2:$A$52,1)+1)-INDEX('hp (pSv cm2)'!$A$2:$A$52,MATCH($C39,'hp (pSv cm2)'!$A$2:$A$52,1))),$C39*'hp (pSv cm2)'!$B$2/'hp (pSv cm2)'!$A$2)</f>
        <v>0.40716627999999999</v>
      </c>
      <c r="G39" s="67">
        <f t="shared" si="3"/>
        <v>5.2931616399999993E-6</v>
      </c>
      <c r="H39" s="83">
        <f>_xlfn.IFNA(0.997*(INDEX('Mass attenuation coefficients'!$B$2:$B$37,MATCH($C39,'Mass attenuation coefficients'!$A$2:$A$37,1))+($C39-INDEX('Mass attenuation coefficients'!$A$2:$A$37,MATCH($C39,'Mass attenuation coefficients'!$A$2:$A$37,1)))*(INDEX('Mass attenuation coefficients'!$B$2:$B$37,MATCH($C39,'Mass attenuation coefficients'!$A$2:$A$37,1)+1)-INDEX('Mass attenuation coefficients'!$B$2:$B$37,MATCH($C39,'Mass attenuation coefficients'!$A$2:$A$37,1)))/(INDEX('Mass attenuation coefficients'!$A$2:$A$37,MATCH($C39,'Mass attenuation coefficients'!$A$2:$A$37,1)+1)-INDEX('Mass attenuation coefficients'!$A$2:$A$37,MATCH($C39,'Mass attenuation coefficients'!$A$2:$A$37,1)))),0.997*$C39*'Mass attenuation coefficients'!$B$2/'Mass attenuation coefficients'!$A$2)</f>
        <v>0.19614408314199999</v>
      </c>
      <c r="I39" s="83">
        <f>_xlfn.IFNA(INDEX('Shultis Faw'!$C$2:$C$26,MATCH($C39,'Shultis Faw'!$A$2:$A$26,1))+($C39-INDEX('Shultis Faw'!$A$2:$A$26,MATCH($C39,'Shultis Faw'!$A$2:$A$26,1)))*(INDEX('Shultis Faw'!$C$2:$C$26,MATCH($C39,'Shultis Faw'!$A$2:$A$26,1)+1)-INDEX('Shultis Faw'!$C$2:$C$26,MATCH($C39,'Shultis Faw'!$A$2:$A$26,1)))/(INDEX('Shultis Faw'!$A$2:$A$26,MATCH($C39,'Shultis Faw'!$A$2:$A$26,1)+1)-INDEX('Shultis Faw'!$A$2:$A$26,MATCH($C39,'Shultis Faw'!$A$2:$A$26,1))),$C39*'Shultis Faw'!$C$2/'Shultis Faw'!$A$2)</f>
        <v>5.0143781199999999</v>
      </c>
      <c r="J39" s="83">
        <f>_xlfn.IFNA(INDEX('Shultis Faw'!$D$2:$D$26,MATCH($C39,'Shultis Faw'!$A$2:$A$26,1))+($C39-INDEX('Shultis Faw'!$A$2:$A$26,MATCH($C39,'Shultis Faw'!$A$2:$A$26,1)))*(INDEX('Shultis Faw'!$D$2:$D$26,MATCH($C39,'Shultis Faw'!$A$2:$A$26,1)+1)-INDEX('Shultis Faw'!$D$2:$D$26,MATCH($C39,'Shultis Faw'!$A$2:$A$26,1)))/(INDEX('Shultis Faw'!$A$2:$A$26,MATCH($C39,'Shultis Faw'!$A$2:$A$26,1)+1)-INDEX('Shultis Faw'!$A$2:$A$26,MATCH($C39,'Shultis Faw'!$A$2:$A$26,1))),$C39*'Shultis Faw'!$D$2/'Shultis Faw'!$A$2)</f>
        <v>1.8658342300000001</v>
      </c>
      <c r="K39" s="83">
        <f>_xlfn.IFNA(INDEX('Shultis Faw'!$B$2:$B$26,MATCH($C39,'Shultis Faw'!$A$2:$A$26,1))+($C39-INDEX('Shultis Faw'!$A$2:$A$26,MATCH($C39,'Shultis Faw'!$A$2:$A$26,1)))*(INDEX('Shultis Faw'!$B$2:$B$26,MATCH($C39,'Shultis Faw'!$A$2:$A$26,1)+1)-INDEX('Shultis Faw'!$B$2:$B$26,MATCH($C39,'Shultis Faw'!$A$2:$A$26,1)))/(INDEX('Shultis Faw'!$A$2:$A$26,MATCH($C39,'Shultis Faw'!$A$2:$A$26,1)+1)-INDEX('Shultis Faw'!$A$2:$A$26,MATCH($C39,'Shultis Faw'!$A$2:$A$26,1))),$C39*'Shultis Faw'!$B$2/'Shultis Faw'!$A$2)</f>
        <v>-0.14334054000000002</v>
      </c>
      <c r="L39" s="83">
        <f>_xlfn.IFNA(INDEX('Shultis Faw'!$E$2:$E$26,MATCH($C39,'Shultis Faw'!$A$2:$A$26,1))+($C39-INDEX('Shultis Faw'!$A$2:$A$26,MATCH($C39,'Shultis Faw'!$A$2:$A$26,1)))*(INDEX('Shultis Faw'!$E$2:$E$26,MATCH($C39,'Shultis Faw'!$A$2:$A$26,1)+1)-INDEX('Shultis Faw'!$E$2:$E$26,MATCH($C39,'Shultis Faw'!$A$2:$A$26,1)))/(INDEX('Shultis Faw'!$A$2:$A$26,MATCH($C39,'Shultis Faw'!$A$2:$A$26,1)+1)-INDEX('Shultis Faw'!$A$2:$A$26,MATCH($C39,'Shultis Faw'!$A$2:$A$26,1))),$C39*'Shultis Faw'!$E$2/'Shultis Faw'!$A$2)</f>
        <v>6.4728983000000004E-2</v>
      </c>
      <c r="M39" s="83">
        <f>_xlfn.IFNA(INDEX('Shultis Faw'!$F$2:$F$26,MATCH($C39,'Shultis Faw'!$A$2:$A$26,1))+($C39-INDEX('Shultis Faw'!$A$2:$A$26,MATCH($C39,'Shultis Faw'!$A$2:$A$26,1)))*(INDEX('Shultis Faw'!$F$2:$F$26,MATCH($C39,'Shultis Faw'!$A$2:$A$26,1)+1)-INDEX('Shultis Faw'!$F$2:$F$26,MATCH($C39,'Shultis Faw'!$A$2:$A$26,1)))/(INDEX('Shultis Faw'!$A$2:$A$26,MATCH($C39,'Shultis Faw'!$A$2:$A$26,1)+1)-INDEX('Shultis Faw'!$A$2:$A$26,MATCH($C39,'Shultis Faw'!$A$2:$A$26,1))),$C39*'Shultis Faw'!$F$2/'Shultis Faw'!$A$2)</f>
        <v>13.652386100000001</v>
      </c>
      <c r="N39" s="83">
        <f>J39*(H39*'Externe blootstelling'!$D$23/2)^K39+L39*(TANH(((H39*'Externe blootstelling'!$D$23)/(2*M39))-2)-TANH(-2))/(1-TANH(-2))</f>
        <v>1.599053227346521</v>
      </c>
      <c r="O39" s="83">
        <f>IF(N39=1,1+(I39-1)*H39*'Externe blootstelling'!$D$23/2,1+(I39-1)*(N39^(H39*'Externe blootstelling'!$D$23/2)-1)/(N39-1))</f>
        <v>20.964339621773604</v>
      </c>
      <c r="P39" s="67">
        <f>G39*EXP(-H39*'Externe blootstelling'!$D$23/2)*O39</f>
        <v>5.8537200479416761E-6</v>
      </c>
      <c r="Q39" s="68"/>
    </row>
    <row r="40" spans="1:17" x14ac:dyDescent="0.2">
      <c r="A40" s="217"/>
      <c r="B40" s="64" t="s">
        <v>104</v>
      </c>
      <c r="C40" s="65">
        <v>6.9672999999999999E-2</v>
      </c>
      <c r="D40" s="66">
        <f t="shared" si="2"/>
        <v>1.114768E-14</v>
      </c>
      <c r="E40" s="66">
        <v>4.691E-2</v>
      </c>
      <c r="F40" s="66">
        <f>_xlfn.IFNA(INDEX('hp (pSv cm2)'!$B$2:$B$52,MATCH($C40,'hp (pSv cm2)'!$A$2:$A$52,1))+($C40-INDEX('hp (pSv cm2)'!$A$2:$A$52,MATCH($C40,'hp (pSv cm2)'!$A$2:$A$52,1)))*(INDEX('hp (pSv cm2)'!$B$2:$B$52,MATCH($C40,'hp (pSv cm2)'!$A$2:$A$52,1)+1)-INDEX('hp (pSv cm2)'!$B$2:$B$52,MATCH($C40,'hp (pSv cm2)'!$A$2:$A$52,1)))/(INDEX('hp (pSv cm2)'!$A$2:$A$52,MATCH($C40,'hp (pSv cm2)'!$A$2:$A$52,1)+1)-INDEX('hp (pSv cm2)'!$A$2:$A$52,MATCH($C40,'hp (pSv cm2)'!$A$2:$A$52,1))),$C40*'hp (pSv cm2)'!$B$2/'hp (pSv cm2)'!$A$2)</f>
        <v>0.41028059999999994</v>
      </c>
      <c r="G40" s="67">
        <f t="shared" si="3"/>
        <v>1.9246262945999997E-2</v>
      </c>
      <c r="H40" s="83">
        <f>_xlfn.IFNA(0.997*(INDEX('Mass attenuation coefficients'!$B$2:$B$37,MATCH($C40,'Mass attenuation coefficients'!$A$2:$A$37,1))+($C40-INDEX('Mass attenuation coefficients'!$A$2:$A$37,MATCH($C40,'Mass attenuation coefficients'!$A$2:$A$37,1)))*(INDEX('Mass attenuation coefficients'!$B$2:$B$37,MATCH($C40,'Mass attenuation coefficients'!$A$2:$A$37,1)+1)-INDEX('Mass attenuation coefficients'!$B$2:$B$37,MATCH($C40,'Mass attenuation coefficients'!$A$2:$A$37,1)))/(INDEX('Mass attenuation coefficients'!$A$2:$A$37,MATCH($C40,'Mass attenuation coefficients'!$A$2:$A$37,1)+1)-INDEX('Mass attenuation coefficients'!$A$2:$A$37,MATCH($C40,'Mass attenuation coefficients'!$A$2:$A$37,1)))),0.997*$C40*'Mass attenuation coefficients'!$B$2/'Mass attenuation coefficients'!$A$2)</f>
        <v>0.19457748109</v>
      </c>
      <c r="I40" s="83">
        <f>_xlfn.IFNA(INDEX('Shultis Faw'!$C$2:$C$26,MATCH($C40,'Shultis Faw'!$A$2:$A$26,1))+($C40-INDEX('Shultis Faw'!$A$2:$A$26,MATCH($C40,'Shultis Faw'!$A$2:$A$26,1)))*(INDEX('Shultis Faw'!$C$2:$C$26,MATCH($C40,'Shultis Faw'!$A$2:$A$26,1)+1)-INDEX('Shultis Faw'!$C$2:$C$26,MATCH($C40,'Shultis Faw'!$A$2:$A$26,1)))/(INDEX('Shultis Faw'!$A$2:$A$26,MATCH($C40,'Shultis Faw'!$A$2:$A$26,1)+1)-INDEX('Shultis Faw'!$A$2:$A$26,MATCH($C40,'Shultis Faw'!$A$2:$A$26,1))),$C40*'Shultis Faw'!$C$2/'Shultis Faw'!$A$2)</f>
        <v>5.0197573999999996</v>
      </c>
      <c r="J40" s="83">
        <f>_xlfn.IFNA(INDEX('Shultis Faw'!$D$2:$D$26,MATCH($C40,'Shultis Faw'!$A$2:$A$26,1))+($C40-INDEX('Shultis Faw'!$A$2:$A$26,MATCH($C40,'Shultis Faw'!$A$2:$A$26,1)))*(INDEX('Shultis Faw'!$D$2:$D$26,MATCH($C40,'Shultis Faw'!$A$2:$A$26,1)+1)-INDEX('Shultis Faw'!$D$2:$D$26,MATCH($C40,'Shultis Faw'!$A$2:$A$26,1)))/(INDEX('Shultis Faw'!$A$2:$A$26,MATCH($C40,'Shultis Faw'!$A$2:$A$26,1)+1)-INDEX('Shultis Faw'!$A$2:$A$26,MATCH($C40,'Shultis Faw'!$A$2:$A$26,1))),$C40*'Shultis Faw'!$D$2/'Shultis Faw'!$A$2)</f>
        <v>1.8891208500000001</v>
      </c>
      <c r="K40" s="83">
        <f>_xlfn.IFNA(INDEX('Shultis Faw'!$B$2:$B$26,MATCH($C40,'Shultis Faw'!$A$2:$A$26,1))+($C40-INDEX('Shultis Faw'!$A$2:$A$26,MATCH($C40,'Shultis Faw'!$A$2:$A$26,1)))*(INDEX('Shultis Faw'!$B$2:$B$26,MATCH($C40,'Shultis Faw'!$A$2:$A$26,1)+1)-INDEX('Shultis Faw'!$B$2:$B$26,MATCH($C40,'Shultis Faw'!$A$2:$A$26,1)))/(INDEX('Shultis Faw'!$A$2:$A$26,MATCH($C40,'Shultis Faw'!$A$2:$A$26,1)+1)-INDEX('Shultis Faw'!$A$2:$A$26,MATCH($C40,'Shultis Faw'!$A$2:$A$26,1))),$C40*'Shultis Faw'!$B$2/'Shultis Faw'!$A$2)</f>
        <v>-0.14631330000000001</v>
      </c>
      <c r="L40" s="83">
        <f>_xlfn.IFNA(INDEX('Shultis Faw'!$E$2:$E$26,MATCH($C40,'Shultis Faw'!$A$2:$A$26,1))+($C40-INDEX('Shultis Faw'!$A$2:$A$26,MATCH($C40,'Shultis Faw'!$A$2:$A$26,1)))*(INDEX('Shultis Faw'!$E$2:$E$26,MATCH($C40,'Shultis Faw'!$A$2:$A$26,1)+1)-INDEX('Shultis Faw'!$E$2:$E$26,MATCH($C40,'Shultis Faw'!$A$2:$A$26,1)))/(INDEX('Shultis Faw'!$A$2:$A$26,MATCH($C40,'Shultis Faw'!$A$2:$A$26,1)+1)-INDEX('Shultis Faw'!$A$2:$A$26,MATCH($C40,'Shultis Faw'!$A$2:$A$26,1))),$C40*'Shultis Faw'!$E$2/'Shultis Faw'!$A$2)</f>
        <v>6.6208284999999992E-2</v>
      </c>
      <c r="M40" s="83">
        <f>_xlfn.IFNA(INDEX('Shultis Faw'!$F$2:$F$26,MATCH($C40,'Shultis Faw'!$A$2:$A$26,1))+($C40-INDEX('Shultis Faw'!$A$2:$A$26,MATCH($C40,'Shultis Faw'!$A$2:$A$26,1)))*(INDEX('Shultis Faw'!$F$2:$F$26,MATCH($C40,'Shultis Faw'!$A$2:$A$26,1)+1)-INDEX('Shultis Faw'!$F$2:$F$26,MATCH($C40,'Shultis Faw'!$A$2:$A$26,1)))/(INDEX('Shultis Faw'!$A$2:$A$26,MATCH($C40,'Shultis Faw'!$A$2:$A$26,1)+1)-INDEX('Shultis Faw'!$A$2:$A$26,MATCH($C40,'Shultis Faw'!$A$2:$A$26,1))),$C40*'Shultis Faw'!$F$2/'Shultis Faw'!$A$2)</f>
        <v>13.6545095</v>
      </c>
      <c r="N40" s="83">
        <f>J40*(H40*'Externe blootstelling'!$D$23/2)^K40+L40*(TANH(((H40*'Externe blootstelling'!$D$23)/(2*M40))-2)-TANH(-2))/(1-TANH(-2))</f>
        <v>1.615720784021748</v>
      </c>
      <c r="O40" s="83">
        <f>IF(N40=1,1+(I40-1)*H40*'Externe blootstelling'!$D$23/2,1+(I40-1)*(N40^(H40*'Externe blootstelling'!$D$23/2)-1)/(N40-1))</f>
        <v>20.954444132850682</v>
      </c>
      <c r="P40" s="67">
        <f>G40*EXP(-H40*'Externe blootstelling'!$D$23/2)*O40</f>
        <v>2.1780290322266579E-2</v>
      </c>
      <c r="Q40" s="68"/>
    </row>
    <row r="41" spans="1:17" x14ac:dyDescent="0.2">
      <c r="A41" s="217"/>
      <c r="B41" s="64" t="s">
        <v>104</v>
      </c>
      <c r="C41" s="65">
        <v>7.542212999999999E-2</v>
      </c>
      <c r="D41" s="66">
        <f t="shared" si="2"/>
        <v>1.2067540799999997E-14</v>
      </c>
      <c r="E41" s="66">
        <v>1.6900000000000001E-3</v>
      </c>
      <c r="F41" s="66">
        <f>_xlfn.IFNA(INDEX('hp (pSv cm2)'!$B$2:$B$52,MATCH($C41,'hp (pSv cm2)'!$A$2:$A$52,1))+($C41-INDEX('hp (pSv cm2)'!$A$2:$A$52,MATCH($C41,'hp (pSv cm2)'!$A$2:$A$52,1)))*(INDEX('hp (pSv cm2)'!$B$2:$B$52,MATCH($C41,'hp (pSv cm2)'!$A$2:$A$52,1)+1)-INDEX('hp (pSv cm2)'!$B$2:$B$52,MATCH($C41,'hp (pSv cm2)'!$A$2:$A$52,1)))/(INDEX('hp (pSv cm2)'!$A$2:$A$52,MATCH($C41,'hp (pSv cm2)'!$A$2:$A$52,1)+1)-INDEX('hp (pSv cm2)'!$A$2:$A$52,MATCH($C41,'hp (pSv cm2)'!$A$2:$A$52,1))),$C41*'hp (pSv cm2)'!$B$2/'hp (pSv cm2)'!$A$2)</f>
        <v>0.42835081599999997</v>
      </c>
      <c r="G41" s="67">
        <f t="shared" si="3"/>
        <v>7.2391287904000003E-4</v>
      </c>
      <c r="H41" s="83">
        <f>_xlfn.IFNA(0.997*(INDEX('Mass attenuation coefficients'!$B$2:$B$37,MATCH($C41,'Mass attenuation coefficients'!$A$2:$A$37,1))+($C41-INDEX('Mass attenuation coefficients'!$A$2:$A$37,MATCH($C41,'Mass attenuation coefficients'!$A$2:$A$37,1)))*(INDEX('Mass attenuation coefficients'!$B$2:$B$37,MATCH($C41,'Mass attenuation coefficients'!$A$2:$A$37,1)+1)-INDEX('Mass attenuation coefficients'!$B$2:$B$37,MATCH($C41,'Mass attenuation coefficients'!$A$2:$A$37,1)))/(INDEX('Mass attenuation coefficients'!$A$2:$A$37,MATCH($C41,'Mass attenuation coefficients'!$A$2:$A$37,1)+1)-INDEX('Mass attenuation coefficients'!$A$2:$A$37,MATCH($C41,'Mass attenuation coefficients'!$A$2:$A$37,1)))),0.997*$C41*'Mass attenuation coefficients'!$B$2/'Mass attenuation coefficients'!$A$2)</f>
        <v>0.18821509139289999</v>
      </c>
      <c r="I41" s="83">
        <f>_xlfn.IFNA(INDEX('Shultis Faw'!$C$2:$C$26,MATCH($C41,'Shultis Faw'!$A$2:$A$26,1))+($C41-INDEX('Shultis Faw'!$A$2:$A$26,MATCH($C41,'Shultis Faw'!$A$2:$A$26,1)))*(INDEX('Shultis Faw'!$C$2:$C$26,MATCH($C41,'Shultis Faw'!$A$2:$A$26,1)+1)-INDEX('Shultis Faw'!$C$2:$C$26,MATCH($C41,'Shultis Faw'!$A$2:$A$26,1)))/(INDEX('Shultis Faw'!$A$2:$A$26,MATCH($C41,'Shultis Faw'!$A$2:$A$26,1)+1)-INDEX('Shultis Faw'!$A$2:$A$26,MATCH($C41,'Shultis Faw'!$A$2:$A$26,1))),$C41*'Shultis Faw'!$C$2/'Shultis Faw'!$A$2)</f>
        <v>5.0416040940000002</v>
      </c>
      <c r="J41" s="83">
        <f>_xlfn.IFNA(INDEX('Shultis Faw'!$D$2:$D$26,MATCH($C41,'Shultis Faw'!$A$2:$A$26,1))+($C41-INDEX('Shultis Faw'!$A$2:$A$26,MATCH($C41,'Shultis Faw'!$A$2:$A$26,1)))*(INDEX('Shultis Faw'!$D$2:$D$26,MATCH($C41,'Shultis Faw'!$A$2:$A$26,1)+1)-INDEX('Shultis Faw'!$D$2:$D$26,MATCH($C41,'Shultis Faw'!$A$2:$A$26,1)))/(INDEX('Shultis Faw'!$A$2:$A$26,MATCH($C41,'Shultis Faw'!$A$2:$A$26,1)+1)-INDEX('Shultis Faw'!$A$2:$A$26,MATCH($C41,'Shultis Faw'!$A$2:$A$26,1))),$C41*'Shultis Faw'!$D$2/'Shultis Faw'!$A$2)</f>
        <v>1.9836940384999999</v>
      </c>
      <c r="K41" s="83">
        <f>_xlfn.IFNA(INDEX('Shultis Faw'!$B$2:$B$26,MATCH($C41,'Shultis Faw'!$A$2:$A$26,1))+($C41-INDEX('Shultis Faw'!$A$2:$A$26,MATCH($C41,'Shultis Faw'!$A$2:$A$26,1)))*(INDEX('Shultis Faw'!$B$2:$B$26,MATCH($C41,'Shultis Faw'!$A$2:$A$26,1)+1)-INDEX('Shultis Faw'!$B$2:$B$26,MATCH($C41,'Shultis Faw'!$A$2:$A$26,1)))/(INDEX('Shultis Faw'!$A$2:$A$26,MATCH($C41,'Shultis Faw'!$A$2:$A$26,1)+1)-INDEX('Shultis Faw'!$A$2:$A$26,MATCH($C41,'Shultis Faw'!$A$2:$A$26,1))),$C41*'Shultis Faw'!$B$2/'Shultis Faw'!$A$2)</f>
        <v>-0.15838647299999997</v>
      </c>
      <c r="L41" s="83">
        <f>_xlfn.IFNA(INDEX('Shultis Faw'!$E$2:$E$26,MATCH($C41,'Shultis Faw'!$A$2:$A$26,1))+($C41-INDEX('Shultis Faw'!$A$2:$A$26,MATCH($C41,'Shultis Faw'!$A$2:$A$26,1)))*(INDEX('Shultis Faw'!$E$2:$E$26,MATCH($C41,'Shultis Faw'!$A$2:$A$26,1)+1)-INDEX('Shultis Faw'!$E$2:$E$26,MATCH($C41,'Shultis Faw'!$A$2:$A$26,1)))/(INDEX('Shultis Faw'!$A$2:$A$26,MATCH($C41,'Shultis Faw'!$A$2:$A$26,1)+1)-INDEX('Shultis Faw'!$A$2:$A$26,MATCH($C41,'Shultis Faw'!$A$2:$A$26,1))),$C41*'Shultis Faw'!$E$2/'Shultis Faw'!$A$2)</f>
        <v>7.2216125849999993E-2</v>
      </c>
      <c r="M41" s="83">
        <f>_xlfn.IFNA(INDEX('Shultis Faw'!$F$2:$F$26,MATCH($C41,'Shultis Faw'!$A$2:$A$26,1))+($C41-INDEX('Shultis Faw'!$A$2:$A$26,MATCH($C41,'Shultis Faw'!$A$2:$A$26,1)))*(INDEX('Shultis Faw'!$F$2:$F$26,MATCH($C41,'Shultis Faw'!$A$2:$A$26,1)+1)-INDEX('Shultis Faw'!$F$2:$F$26,MATCH($C41,'Shultis Faw'!$A$2:$A$26,1)))/(INDEX('Shultis Faw'!$A$2:$A$26,MATCH($C41,'Shultis Faw'!$A$2:$A$26,1)+1)-INDEX('Shultis Faw'!$A$2:$A$26,MATCH($C41,'Shultis Faw'!$A$2:$A$26,1))),$C41*'Shultis Faw'!$F$2/'Shultis Faw'!$A$2)</f>
        <v>13.663133195</v>
      </c>
      <c r="N41" s="83">
        <f>J41*(H41*'Externe blootstelling'!$D$23/2)^K41+L41*(TANH(((H41*'Externe blootstelling'!$D$23)/(2*M41))-2)-TANH(-2))/(1-TANH(-2))</f>
        <v>1.6836530169617876</v>
      </c>
      <c r="O41" s="83">
        <f>IF(N41=1,1+(I41-1)*H41*'Externe blootstelling'!$D$23/2,1+(I41-1)*(N41^(H41*'Externe blootstelling'!$D$23/2)-1)/(N41-1))</f>
        <v>20.820624736836869</v>
      </c>
      <c r="P41" s="67">
        <f>G41*EXP(-H41*'Externe blootstelling'!$D$23/2)*O41</f>
        <v>8.9550584695548437E-4</v>
      </c>
      <c r="Q41" s="68"/>
    </row>
    <row r="42" spans="1:17" x14ac:dyDescent="0.2">
      <c r="A42" s="217"/>
      <c r="B42" s="64" t="s">
        <v>104</v>
      </c>
      <c r="C42" s="65">
        <v>8.3367170000000004E-2</v>
      </c>
      <c r="D42" s="66">
        <f t="shared" si="2"/>
        <v>1.33387472E-14</v>
      </c>
      <c r="E42" s="66">
        <v>1.9300000000000001E-3</v>
      </c>
      <c r="F42" s="66">
        <f>_xlfn.IFNA(INDEX('hp (pSv cm2)'!$B$2:$B$52,MATCH($C42,'hp (pSv cm2)'!$A$2:$A$52,1))+($C42-INDEX('hp (pSv cm2)'!$A$2:$A$52,MATCH($C42,'hp (pSv cm2)'!$A$2:$A$52,1)))*(INDEX('hp (pSv cm2)'!$B$2:$B$52,MATCH($C42,'hp (pSv cm2)'!$A$2:$A$52,1)+1)-INDEX('hp (pSv cm2)'!$B$2:$B$52,MATCH($C42,'hp (pSv cm2)'!$A$2:$A$52,1)))/(INDEX('hp (pSv cm2)'!$A$2:$A$52,MATCH($C42,'hp (pSv cm2)'!$A$2:$A$52,1)+1)-INDEX('hp (pSv cm2)'!$A$2:$A$52,MATCH($C42,'hp (pSv cm2)'!$A$2:$A$52,1))),$C42*'hp (pSv cm2)'!$B$2/'hp (pSv cm2)'!$A$2)</f>
        <v>0.45562688750000002</v>
      </c>
      <c r="G42" s="67">
        <f t="shared" si="3"/>
        <v>8.7935989287500009E-4</v>
      </c>
      <c r="H42" s="83">
        <f>_xlfn.IFNA(0.997*(INDEX('Mass attenuation coefficients'!$B$2:$B$37,MATCH($C42,'Mass attenuation coefficients'!$A$2:$A$37,1))+($C42-INDEX('Mass attenuation coefficients'!$A$2:$A$37,MATCH($C42,'Mass attenuation coefficients'!$A$2:$A$37,1)))*(INDEX('Mass attenuation coefficients'!$B$2:$B$37,MATCH($C42,'Mass attenuation coefficients'!$A$2:$A$37,1)+1)-INDEX('Mass attenuation coefficients'!$B$2:$B$37,MATCH($C42,'Mass attenuation coefficients'!$A$2:$A$37,1)))/(INDEX('Mass attenuation coefficients'!$A$2:$A$37,MATCH($C42,'Mass attenuation coefficients'!$A$2:$A$37,1)+1)-INDEX('Mass attenuation coefficients'!$A$2:$A$37,MATCH($C42,'Mass attenuation coefficients'!$A$2:$A$37,1)))),0.997*$C42*'Mass attenuation coefficients'!$B$2/'Mass attenuation coefficients'!$A$2)</f>
        <v>0.18096680548150001</v>
      </c>
      <c r="I42" s="83">
        <f>_xlfn.IFNA(INDEX('Shultis Faw'!$C$2:$C$26,MATCH($C42,'Shultis Faw'!$A$2:$A$26,1))+($C42-INDEX('Shultis Faw'!$A$2:$A$26,MATCH($C42,'Shultis Faw'!$A$2:$A$26,1)))*(INDEX('Shultis Faw'!$C$2:$C$26,MATCH($C42,'Shultis Faw'!$A$2:$A$26,1)+1)-INDEX('Shultis Faw'!$C$2:$C$26,MATCH($C42,'Shultis Faw'!$A$2:$A$26,1)))/(INDEX('Shultis Faw'!$A$2:$A$26,MATCH($C42,'Shultis Faw'!$A$2:$A$26,1)+1)-INDEX('Shultis Faw'!$A$2:$A$26,MATCH($C42,'Shultis Faw'!$A$2:$A$26,1))),$C42*'Shultis Faw'!$C$2/'Shultis Faw'!$A$2)</f>
        <v>4.9923300340000001</v>
      </c>
      <c r="J42" s="83">
        <f>_xlfn.IFNA(INDEX('Shultis Faw'!$D$2:$D$26,MATCH($C42,'Shultis Faw'!$A$2:$A$26,1))+($C42-INDEX('Shultis Faw'!$A$2:$A$26,MATCH($C42,'Shultis Faw'!$A$2:$A$26,1)))*(INDEX('Shultis Faw'!$D$2:$D$26,MATCH($C42,'Shultis Faw'!$A$2:$A$26,1)+1)-INDEX('Shultis Faw'!$D$2:$D$26,MATCH($C42,'Shultis Faw'!$A$2:$A$26,1)))/(INDEX('Shultis Faw'!$A$2:$A$26,MATCH($C42,'Shultis Faw'!$A$2:$A$26,1)+1)-INDEX('Shultis Faw'!$A$2:$A$26,MATCH($C42,'Shultis Faw'!$A$2:$A$26,1))),$C42*'Shultis Faw'!$D$2/'Shultis Faw'!$A$2)</f>
        <v>2.0862740770000001</v>
      </c>
      <c r="K42" s="83">
        <f>_xlfn.IFNA(INDEX('Shultis Faw'!$B$2:$B$26,MATCH($C42,'Shultis Faw'!$A$2:$A$26,1))+($C42-INDEX('Shultis Faw'!$A$2:$A$26,MATCH($C42,'Shultis Faw'!$A$2:$A$26,1)))*(INDEX('Shultis Faw'!$B$2:$B$26,MATCH($C42,'Shultis Faw'!$A$2:$A$26,1)+1)-INDEX('Shultis Faw'!$B$2:$B$26,MATCH($C42,'Shultis Faw'!$A$2:$A$26,1)))/(INDEX('Shultis Faw'!$A$2:$A$26,MATCH($C42,'Shultis Faw'!$A$2:$A$26,1)+1)-INDEX('Shultis Faw'!$A$2:$A$26,MATCH($C42,'Shultis Faw'!$A$2:$A$26,1))),$C42*'Shultis Faw'!$B$2/'Shultis Faw'!$A$2)</f>
        <v>-0.171030453</v>
      </c>
      <c r="L42" s="83">
        <f>_xlfn.IFNA(INDEX('Shultis Faw'!$E$2:$E$26,MATCH($C42,'Shultis Faw'!$A$2:$A$26,1))+($C42-INDEX('Shultis Faw'!$A$2:$A$26,MATCH($C42,'Shultis Faw'!$A$2:$A$26,1)))*(INDEX('Shultis Faw'!$E$2:$E$26,MATCH($C42,'Shultis Faw'!$A$2:$A$26,1)+1)-INDEX('Shultis Faw'!$E$2:$E$26,MATCH($C42,'Shultis Faw'!$A$2:$A$26,1)))/(INDEX('Shultis Faw'!$A$2:$A$26,MATCH($C42,'Shultis Faw'!$A$2:$A$26,1)+1)-INDEX('Shultis Faw'!$A$2:$A$26,MATCH($C42,'Shultis Faw'!$A$2:$A$26,1))),$C42*'Shultis Faw'!$E$2/'Shultis Faw'!$A$2)</f>
        <v>7.7942807599999997E-2</v>
      </c>
      <c r="M42" s="83">
        <f>_xlfn.IFNA(INDEX('Shultis Faw'!$F$2:$F$26,MATCH($C42,'Shultis Faw'!$A$2:$A$26,1))+($C42-INDEX('Shultis Faw'!$A$2:$A$26,MATCH($C42,'Shultis Faw'!$A$2:$A$26,1)))*(INDEX('Shultis Faw'!$F$2:$F$26,MATCH($C42,'Shultis Faw'!$A$2:$A$26,1)+1)-INDEX('Shultis Faw'!$F$2:$F$26,MATCH($C42,'Shultis Faw'!$A$2:$A$26,1)))/(INDEX('Shultis Faw'!$A$2:$A$26,MATCH($C42,'Shultis Faw'!$A$2:$A$26,1)+1)-INDEX('Shultis Faw'!$A$2:$A$26,MATCH($C42,'Shultis Faw'!$A$2:$A$26,1))),$C42*'Shultis Faw'!$F$2/'Shultis Faw'!$A$2)</f>
        <v>13.61275811</v>
      </c>
      <c r="N42" s="83">
        <f>J42*(H42*'Externe blootstelling'!$D$23/2)^K42+L42*(TANH(((H42*'Externe blootstelling'!$D$23)/(2*M42))-2)-TANH(-2))/(1-TANH(-2))</f>
        <v>1.7594027601397317</v>
      </c>
      <c r="O42" s="83">
        <f>IF(N42=1,1+(I42-1)*H42*'Externe blootstelling'!$D$23/2,1+(I42-1)*(N42^(H42*'Externe blootstelling'!$D$23/2)-1)/(N42-1))</f>
        <v>20.109619640066246</v>
      </c>
      <c r="P42" s="67">
        <f>G42*EXP(-H42*'Externe blootstelling'!$D$23/2)*O42</f>
        <v>1.1713245198641073E-3</v>
      </c>
      <c r="Q42" s="68"/>
    </row>
    <row r="43" spans="1:17" x14ac:dyDescent="0.2">
      <c r="A43" s="217"/>
      <c r="B43" s="64" t="s">
        <v>104</v>
      </c>
      <c r="C43" s="65">
        <v>8.9485950000000009E-2</v>
      </c>
      <c r="D43" s="66">
        <f t="shared" si="2"/>
        <v>1.4317752E-14</v>
      </c>
      <c r="E43" s="66">
        <v>1.58E-3</v>
      </c>
      <c r="F43" s="66">
        <f>_xlfn.IFNA(INDEX('hp (pSv cm2)'!$B$2:$B$52,MATCH($C43,'hp (pSv cm2)'!$A$2:$A$52,1))+($C43-INDEX('hp (pSv cm2)'!$A$2:$A$52,MATCH($C43,'hp (pSv cm2)'!$A$2:$A$52,1)))*(INDEX('hp (pSv cm2)'!$B$2:$B$52,MATCH($C43,'hp (pSv cm2)'!$A$2:$A$52,1)+1)-INDEX('hp (pSv cm2)'!$B$2:$B$52,MATCH($C43,'hp (pSv cm2)'!$A$2:$A$52,1)))/(INDEX('hp (pSv cm2)'!$A$2:$A$52,MATCH($C43,'hp (pSv cm2)'!$A$2:$A$52,1)+1)-INDEX('hp (pSv cm2)'!$A$2:$A$52,MATCH($C43,'hp (pSv cm2)'!$A$2:$A$52,1))),$C43*'hp (pSv cm2)'!$B$2/'hp (pSv cm2)'!$A$2)</f>
        <v>0.47857231250000004</v>
      </c>
      <c r="G43" s="67">
        <f t="shared" si="3"/>
        <v>7.5614425375000011E-4</v>
      </c>
      <c r="H43" s="83">
        <f>_xlfn.IFNA(0.997*(INDEX('Mass attenuation coefficients'!$B$2:$B$37,MATCH($C43,'Mass attenuation coefficients'!$A$2:$A$37,1))+($C43-INDEX('Mass attenuation coefficients'!$A$2:$A$37,MATCH($C43,'Mass attenuation coefficients'!$A$2:$A$37,1)))*(INDEX('Mass attenuation coefficients'!$B$2:$B$37,MATCH($C43,'Mass attenuation coefficients'!$A$2:$A$37,1)+1)-INDEX('Mass attenuation coefficients'!$B$2:$B$37,MATCH($C43,'Mass attenuation coefficients'!$A$2:$A$37,1)))/(INDEX('Mass attenuation coefficients'!$A$2:$A$37,MATCH($C43,'Mass attenuation coefficients'!$A$2:$A$37,1)+1)-INDEX('Mass attenuation coefficients'!$A$2:$A$37,MATCH($C43,'Mass attenuation coefficients'!$A$2:$A$37,1)))),0.997*$C43*'Mass attenuation coefficients'!$B$2/'Mass attenuation coefficients'!$A$2)</f>
        <v>0.1770015301025</v>
      </c>
      <c r="I43" s="83">
        <f>_xlfn.IFNA(INDEX('Shultis Faw'!$C$2:$C$26,MATCH($C43,'Shultis Faw'!$A$2:$A$26,1))+($C43-INDEX('Shultis Faw'!$A$2:$A$26,MATCH($C43,'Shultis Faw'!$A$2:$A$26,1)))*(INDEX('Shultis Faw'!$C$2:$C$26,MATCH($C43,'Shultis Faw'!$A$2:$A$26,1)+1)-INDEX('Shultis Faw'!$C$2:$C$26,MATCH($C43,'Shultis Faw'!$A$2:$A$26,1)))/(INDEX('Shultis Faw'!$A$2:$A$26,MATCH($C43,'Shultis Faw'!$A$2:$A$26,1)+1)-INDEX('Shultis Faw'!$A$2:$A$26,MATCH($C43,'Shultis Faw'!$A$2:$A$26,1))),$C43*'Shultis Faw'!$C$2/'Shultis Faw'!$A$2)</f>
        <v>4.8711781900000002</v>
      </c>
      <c r="J43" s="83">
        <f>_xlfn.IFNA(INDEX('Shultis Faw'!$D$2:$D$26,MATCH($C43,'Shultis Faw'!$A$2:$A$26,1))+($C43-INDEX('Shultis Faw'!$A$2:$A$26,MATCH($C43,'Shultis Faw'!$A$2:$A$26,1)))*(INDEX('Shultis Faw'!$D$2:$D$26,MATCH($C43,'Shultis Faw'!$A$2:$A$26,1)+1)-INDEX('Shultis Faw'!$D$2:$D$26,MATCH($C43,'Shultis Faw'!$A$2:$A$26,1)))/(INDEX('Shultis Faw'!$A$2:$A$26,MATCH($C43,'Shultis Faw'!$A$2:$A$26,1)+1)-INDEX('Shultis Faw'!$A$2:$A$26,MATCH($C43,'Shultis Faw'!$A$2:$A$26,1))),$C43*'Shultis Faw'!$D$2/'Shultis Faw'!$A$2)</f>
        <v>2.135836195</v>
      </c>
      <c r="K43" s="83">
        <f>_xlfn.IFNA(INDEX('Shultis Faw'!$B$2:$B$26,MATCH($C43,'Shultis Faw'!$A$2:$A$26,1))+($C43-INDEX('Shultis Faw'!$A$2:$A$26,MATCH($C43,'Shultis Faw'!$A$2:$A$26,1)))*(INDEX('Shultis Faw'!$B$2:$B$26,MATCH($C43,'Shultis Faw'!$A$2:$A$26,1)+1)-INDEX('Shultis Faw'!$B$2:$B$26,MATCH($C43,'Shultis Faw'!$A$2:$A$26,1)))/(INDEX('Shultis Faw'!$A$2:$A$26,MATCH($C43,'Shultis Faw'!$A$2:$A$26,1)+1)-INDEX('Shultis Faw'!$A$2:$A$26,MATCH($C43,'Shultis Faw'!$A$2:$A$26,1))),$C43*'Shultis Faw'!$B$2/'Shultis Faw'!$A$2)</f>
        <v>-0.17653735500000001</v>
      </c>
      <c r="L43" s="83">
        <f>_xlfn.IFNA(INDEX('Shultis Faw'!$E$2:$E$26,MATCH($C43,'Shultis Faw'!$A$2:$A$26,1))+($C43-INDEX('Shultis Faw'!$A$2:$A$26,MATCH($C43,'Shultis Faw'!$A$2:$A$26,1)))*(INDEX('Shultis Faw'!$E$2:$E$26,MATCH($C43,'Shultis Faw'!$A$2:$A$26,1)+1)-INDEX('Shultis Faw'!$E$2:$E$26,MATCH($C43,'Shultis Faw'!$A$2:$A$26,1)))/(INDEX('Shultis Faw'!$A$2:$A$26,MATCH($C43,'Shultis Faw'!$A$2:$A$26,1)+1)-INDEX('Shultis Faw'!$A$2:$A$26,MATCH($C43,'Shultis Faw'!$A$2:$A$26,1))),$C43*'Shultis Faw'!$E$2/'Shultis Faw'!$A$2)</f>
        <v>7.9656065999999998E-2</v>
      </c>
      <c r="M43" s="83">
        <f>_xlfn.IFNA(INDEX('Shultis Faw'!$F$2:$F$26,MATCH($C43,'Shultis Faw'!$A$2:$A$26,1))+($C43-INDEX('Shultis Faw'!$A$2:$A$26,MATCH($C43,'Shultis Faw'!$A$2:$A$26,1)))*(INDEX('Shultis Faw'!$F$2:$F$26,MATCH($C43,'Shultis Faw'!$A$2:$A$26,1)+1)-INDEX('Shultis Faw'!$F$2:$F$26,MATCH($C43,'Shultis Faw'!$A$2:$A$26,1)))/(INDEX('Shultis Faw'!$A$2:$A$26,MATCH($C43,'Shultis Faw'!$A$2:$A$26,1)+1)-INDEX('Shultis Faw'!$A$2:$A$26,MATCH($C43,'Shultis Faw'!$A$2:$A$26,1))),$C43*'Shultis Faw'!$F$2/'Shultis Faw'!$A$2)</f>
        <v>13.50873885</v>
      </c>
      <c r="N43" s="83">
        <f>J43*(H43*'Externe blootstelling'!$D$23/2)^K43+L43*(TANH(((H43*'Externe blootstelling'!$D$23)/(2*M43))-2)-TANH(-2))/(1-TANH(-2))</f>
        <v>1.7983294741672056</v>
      </c>
      <c r="O43" s="83">
        <f>IF(N43=1,1+(I43-1)*H43*'Externe blootstelling'!$D$23/2,1+(I43-1)*(N43^(H43*'Externe blootstelling'!$D$23/2)-1)/(N43-1))</f>
        <v>19.183595685364722</v>
      </c>
      <c r="P43" s="67">
        <f>G43*EXP(-H43*'Externe blootstelling'!$D$23/2)*O43</f>
        <v>1.0197010149633292E-3</v>
      </c>
      <c r="Q43" s="68"/>
    </row>
    <row r="44" spans="1:17" x14ac:dyDescent="0.2">
      <c r="A44" s="217"/>
      <c r="B44" s="64" t="s">
        <v>104</v>
      </c>
      <c r="C44" s="65">
        <v>9.6882400000000007E-2</v>
      </c>
      <c r="D44" s="66">
        <f t="shared" si="2"/>
        <v>1.5501184000000002E-14</v>
      </c>
      <c r="E44" s="66">
        <v>7.0000000000000007E-5</v>
      </c>
      <c r="F44" s="66">
        <f>_xlfn.IFNA(INDEX('hp (pSv cm2)'!$B$2:$B$52,MATCH($C44,'hp (pSv cm2)'!$A$2:$A$52,1))+($C44-INDEX('hp (pSv cm2)'!$A$2:$A$52,MATCH($C44,'hp (pSv cm2)'!$A$2:$A$52,1)))*(INDEX('hp (pSv cm2)'!$B$2:$B$52,MATCH($C44,'hp (pSv cm2)'!$A$2:$A$52,1)+1)-INDEX('hp (pSv cm2)'!$B$2:$B$52,MATCH($C44,'hp (pSv cm2)'!$A$2:$A$52,1)))/(INDEX('hp (pSv cm2)'!$A$2:$A$52,MATCH($C44,'hp (pSv cm2)'!$A$2:$A$52,1)+1)-INDEX('hp (pSv cm2)'!$A$2:$A$52,MATCH($C44,'hp (pSv cm2)'!$A$2:$A$52,1))),$C44*'hp (pSv cm2)'!$B$2/'hp (pSv cm2)'!$A$2)</f>
        <v>0.50630900000000001</v>
      </c>
      <c r="G44" s="67">
        <f t="shared" si="3"/>
        <v>3.5441630000000005E-5</v>
      </c>
      <c r="H44" s="83">
        <f>_xlfn.IFNA(0.997*(INDEX('Mass attenuation coefficients'!$B$2:$B$37,MATCH($C44,'Mass attenuation coefficients'!$A$2:$A$37,1))+($C44-INDEX('Mass attenuation coefficients'!$A$2:$A$37,MATCH($C44,'Mass attenuation coefficients'!$A$2:$A$37,1)))*(INDEX('Mass attenuation coefficients'!$B$2:$B$37,MATCH($C44,'Mass attenuation coefficients'!$A$2:$A$37,1)+1)-INDEX('Mass attenuation coefficients'!$B$2:$B$37,MATCH($C44,'Mass attenuation coefficients'!$A$2:$A$37,1)))/(INDEX('Mass attenuation coefficients'!$A$2:$A$37,MATCH($C44,'Mass attenuation coefficients'!$A$2:$A$37,1)+1)-INDEX('Mass attenuation coefficients'!$A$2:$A$37,MATCH($C44,'Mass attenuation coefficients'!$A$2:$A$37,1)))),0.997*$C44*'Mass attenuation coefficients'!$B$2/'Mass attenuation coefficients'!$A$2)</f>
        <v>0.17220826067999997</v>
      </c>
      <c r="I44" s="83">
        <f>_xlfn.IFNA(INDEX('Shultis Faw'!$C$2:$C$26,MATCH($C44,'Shultis Faw'!$A$2:$A$26,1))+($C44-INDEX('Shultis Faw'!$A$2:$A$26,MATCH($C44,'Shultis Faw'!$A$2:$A$26,1)))*(INDEX('Shultis Faw'!$C$2:$C$26,MATCH($C44,'Shultis Faw'!$A$2:$A$26,1)+1)-INDEX('Shultis Faw'!$C$2:$C$26,MATCH($C44,'Shultis Faw'!$A$2:$A$26,1)))/(INDEX('Shultis Faw'!$A$2:$A$26,MATCH($C44,'Shultis Faw'!$A$2:$A$26,1)+1)-INDEX('Shultis Faw'!$A$2:$A$26,MATCH($C44,'Shultis Faw'!$A$2:$A$26,1))),$C44*'Shultis Faw'!$C$2/'Shultis Faw'!$A$2)</f>
        <v>4.7247284800000005</v>
      </c>
      <c r="J44" s="83">
        <f>_xlfn.IFNA(INDEX('Shultis Faw'!$D$2:$D$26,MATCH($C44,'Shultis Faw'!$A$2:$A$26,1))+($C44-INDEX('Shultis Faw'!$A$2:$A$26,MATCH($C44,'Shultis Faw'!$A$2:$A$26,1)))*(INDEX('Shultis Faw'!$D$2:$D$26,MATCH($C44,'Shultis Faw'!$A$2:$A$26,1)+1)-INDEX('Shultis Faw'!$D$2:$D$26,MATCH($C44,'Shultis Faw'!$A$2:$A$26,1)))/(INDEX('Shultis Faw'!$A$2:$A$26,MATCH($C44,'Shultis Faw'!$A$2:$A$26,1)+1)-INDEX('Shultis Faw'!$A$2:$A$26,MATCH($C44,'Shultis Faw'!$A$2:$A$26,1))),$C44*'Shultis Faw'!$D$2/'Shultis Faw'!$A$2)</f>
        <v>2.1957474399999999</v>
      </c>
      <c r="K44" s="83">
        <f>_xlfn.IFNA(INDEX('Shultis Faw'!$B$2:$B$26,MATCH($C44,'Shultis Faw'!$A$2:$A$26,1))+($C44-INDEX('Shultis Faw'!$A$2:$A$26,MATCH($C44,'Shultis Faw'!$A$2:$A$26,1)))*(INDEX('Shultis Faw'!$B$2:$B$26,MATCH($C44,'Shultis Faw'!$A$2:$A$26,1)+1)-INDEX('Shultis Faw'!$B$2:$B$26,MATCH($C44,'Shultis Faw'!$A$2:$A$26,1)))/(INDEX('Shultis Faw'!$A$2:$A$26,MATCH($C44,'Shultis Faw'!$A$2:$A$26,1)+1)-INDEX('Shultis Faw'!$A$2:$A$26,MATCH($C44,'Shultis Faw'!$A$2:$A$26,1))),$C44*'Shultis Faw'!$B$2/'Shultis Faw'!$A$2)</f>
        <v>-0.18319415999999999</v>
      </c>
      <c r="L44" s="83">
        <f>_xlfn.IFNA(INDEX('Shultis Faw'!$E$2:$E$26,MATCH($C44,'Shultis Faw'!$A$2:$A$26,1))+($C44-INDEX('Shultis Faw'!$A$2:$A$26,MATCH($C44,'Shultis Faw'!$A$2:$A$26,1)))*(INDEX('Shultis Faw'!$E$2:$E$26,MATCH($C44,'Shultis Faw'!$A$2:$A$26,1)+1)-INDEX('Shultis Faw'!$E$2:$E$26,MATCH($C44,'Shultis Faw'!$A$2:$A$26,1)))/(INDEX('Shultis Faw'!$A$2:$A$26,MATCH($C44,'Shultis Faw'!$A$2:$A$26,1)+1)-INDEX('Shultis Faw'!$A$2:$A$26,MATCH($C44,'Shultis Faw'!$A$2:$A$26,1))),$C44*'Shultis Faw'!$E$2/'Shultis Faw'!$A$2)</f>
        <v>8.1727072000000012E-2</v>
      </c>
      <c r="M44" s="83">
        <f>_xlfn.IFNA(INDEX('Shultis Faw'!$F$2:$F$26,MATCH($C44,'Shultis Faw'!$A$2:$A$26,1))+($C44-INDEX('Shultis Faw'!$A$2:$A$26,MATCH($C44,'Shultis Faw'!$A$2:$A$26,1)))*(INDEX('Shultis Faw'!$F$2:$F$26,MATCH($C44,'Shultis Faw'!$A$2:$A$26,1)+1)-INDEX('Shultis Faw'!$F$2:$F$26,MATCH($C44,'Shultis Faw'!$A$2:$A$26,1)))/(INDEX('Shultis Faw'!$A$2:$A$26,MATCH($C44,'Shultis Faw'!$A$2:$A$26,1)+1)-INDEX('Shultis Faw'!$A$2:$A$26,MATCH($C44,'Shultis Faw'!$A$2:$A$26,1))),$C44*'Shultis Faw'!$F$2/'Shultis Faw'!$A$2)</f>
        <v>13.3829992</v>
      </c>
      <c r="N44" s="83">
        <f>J44*(H44*'Externe blootstelling'!$D$23/2)^K44+L44*(TANH(((H44*'Externe blootstelling'!$D$23)/(2*M44))-2)-TANH(-2))/(1-TANH(-2))</f>
        <v>1.8460411205841158</v>
      </c>
      <c r="O44" s="83">
        <f>IF(N44=1,1+(I44-1)*H44*'Externe blootstelling'!$D$23/2,1+(I44-1)*(N44^(H44*'Externe blootstelling'!$D$23/2)-1)/(N44-1))</f>
        <v>18.047970470588908</v>
      </c>
      <c r="P44" s="67">
        <f>G44*EXP(-H44*'Externe blootstelling'!$D$23/2)*O44</f>
        <v>4.8317627219386108E-5</v>
      </c>
      <c r="Q44" s="68"/>
    </row>
    <row r="45" spans="1:17" x14ac:dyDescent="0.2">
      <c r="A45" s="217"/>
      <c r="B45" s="64" t="s">
        <v>104</v>
      </c>
      <c r="C45" s="65">
        <v>9.7431000000000004E-2</v>
      </c>
      <c r="D45" s="66">
        <f t="shared" si="2"/>
        <v>1.5588959999999998E-14</v>
      </c>
      <c r="E45" s="66">
        <v>7.6699999999999997E-3</v>
      </c>
      <c r="F45" s="66">
        <f>_xlfn.IFNA(INDEX('hp (pSv cm2)'!$B$2:$B$52,MATCH($C45,'hp (pSv cm2)'!$A$2:$A$52,1))+($C45-INDEX('hp (pSv cm2)'!$A$2:$A$52,MATCH($C45,'hp (pSv cm2)'!$A$2:$A$52,1)))*(INDEX('hp (pSv cm2)'!$B$2:$B$52,MATCH($C45,'hp (pSv cm2)'!$A$2:$A$52,1)+1)-INDEX('hp (pSv cm2)'!$B$2:$B$52,MATCH($C45,'hp (pSv cm2)'!$A$2:$A$52,1)))/(INDEX('hp (pSv cm2)'!$A$2:$A$52,MATCH($C45,'hp (pSv cm2)'!$A$2:$A$52,1)+1)-INDEX('hp (pSv cm2)'!$A$2:$A$52,MATCH($C45,'hp (pSv cm2)'!$A$2:$A$52,1))),$C45*'hp (pSv cm2)'!$B$2/'hp (pSv cm2)'!$A$2)</f>
        <v>0.50836625000000002</v>
      </c>
      <c r="G45" s="67">
        <f t="shared" si="3"/>
        <v>3.8991691375000002E-3</v>
      </c>
      <c r="H45" s="83">
        <f>_xlfn.IFNA(0.997*(INDEX('Mass attenuation coefficients'!$B$2:$B$37,MATCH($C45,'Mass attenuation coefficients'!$A$2:$A$37,1))+($C45-INDEX('Mass attenuation coefficients'!$A$2:$A$37,MATCH($C45,'Mass attenuation coefficients'!$A$2:$A$37,1)))*(INDEX('Mass attenuation coefficients'!$B$2:$B$37,MATCH($C45,'Mass attenuation coefficients'!$A$2:$A$37,1)+1)-INDEX('Mass attenuation coefficients'!$B$2:$B$37,MATCH($C45,'Mass attenuation coefficients'!$A$2:$A$37,1)))/(INDEX('Mass attenuation coefficients'!$A$2:$A$37,MATCH($C45,'Mass attenuation coefficients'!$A$2:$A$37,1)+1)-INDEX('Mass attenuation coefficients'!$A$2:$A$37,MATCH($C45,'Mass attenuation coefficients'!$A$2:$A$37,1)))),0.997*$C45*'Mass attenuation coefficients'!$B$2/'Mass attenuation coefficients'!$A$2)</f>
        <v>0.17185274044999999</v>
      </c>
      <c r="I45" s="83">
        <f>_xlfn.IFNA(INDEX('Shultis Faw'!$C$2:$C$26,MATCH($C45,'Shultis Faw'!$A$2:$A$26,1))+($C45-INDEX('Shultis Faw'!$A$2:$A$26,MATCH($C45,'Shultis Faw'!$A$2:$A$26,1)))*(INDEX('Shultis Faw'!$C$2:$C$26,MATCH($C45,'Shultis Faw'!$A$2:$A$26,1)+1)-INDEX('Shultis Faw'!$C$2:$C$26,MATCH($C45,'Shultis Faw'!$A$2:$A$26,1)))/(INDEX('Shultis Faw'!$A$2:$A$26,MATCH($C45,'Shultis Faw'!$A$2:$A$26,1)+1)-INDEX('Shultis Faw'!$A$2:$A$26,MATCH($C45,'Shultis Faw'!$A$2:$A$26,1))),$C45*'Shultis Faw'!$C$2/'Shultis Faw'!$A$2)</f>
        <v>4.7138662</v>
      </c>
      <c r="J45" s="83">
        <f>_xlfn.IFNA(INDEX('Shultis Faw'!$D$2:$D$26,MATCH($C45,'Shultis Faw'!$A$2:$A$26,1))+($C45-INDEX('Shultis Faw'!$A$2:$A$26,MATCH($C45,'Shultis Faw'!$A$2:$A$26,1)))*(INDEX('Shultis Faw'!$D$2:$D$26,MATCH($C45,'Shultis Faw'!$A$2:$A$26,1)+1)-INDEX('Shultis Faw'!$D$2:$D$26,MATCH($C45,'Shultis Faw'!$A$2:$A$26,1)))/(INDEX('Shultis Faw'!$A$2:$A$26,MATCH($C45,'Shultis Faw'!$A$2:$A$26,1)+1)-INDEX('Shultis Faw'!$A$2:$A$26,MATCH($C45,'Shultis Faw'!$A$2:$A$26,1))),$C45*'Shultis Faw'!$D$2/'Shultis Faw'!$A$2)</f>
        <v>2.2001911000000001</v>
      </c>
      <c r="K45" s="83">
        <f>_xlfn.IFNA(INDEX('Shultis Faw'!$B$2:$B$26,MATCH($C45,'Shultis Faw'!$A$2:$A$26,1))+($C45-INDEX('Shultis Faw'!$A$2:$A$26,MATCH($C45,'Shultis Faw'!$A$2:$A$26,1)))*(INDEX('Shultis Faw'!$B$2:$B$26,MATCH($C45,'Shultis Faw'!$A$2:$A$26,1)+1)-INDEX('Shultis Faw'!$B$2:$B$26,MATCH($C45,'Shultis Faw'!$A$2:$A$26,1)))/(INDEX('Shultis Faw'!$A$2:$A$26,MATCH($C45,'Shultis Faw'!$A$2:$A$26,1)+1)-INDEX('Shultis Faw'!$A$2:$A$26,MATCH($C45,'Shultis Faw'!$A$2:$A$26,1))),$C45*'Shultis Faw'!$B$2/'Shultis Faw'!$A$2)</f>
        <v>-0.18368789999999999</v>
      </c>
      <c r="L45" s="83">
        <f>_xlfn.IFNA(INDEX('Shultis Faw'!$E$2:$E$26,MATCH($C45,'Shultis Faw'!$A$2:$A$26,1))+($C45-INDEX('Shultis Faw'!$A$2:$A$26,MATCH($C45,'Shultis Faw'!$A$2:$A$26,1)))*(INDEX('Shultis Faw'!$E$2:$E$26,MATCH($C45,'Shultis Faw'!$A$2:$A$26,1)+1)-INDEX('Shultis Faw'!$E$2:$E$26,MATCH($C45,'Shultis Faw'!$A$2:$A$26,1)))/(INDEX('Shultis Faw'!$A$2:$A$26,MATCH($C45,'Shultis Faw'!$A$2:$A$26,1)+1)-INDEX('Shultis Faw'!$A$2:$A$26,MATCH($C45,'Shultis Faw'!$A$2:$A$26,1))),$C45*'Shultis Faw'!$E$2/'Shultis Faw'!$A$2)</f>
        <v>8.1880680000000011E-2</v>
      </c>
      <c r="M45" s="83">
        <f>_xlfn.IFNA(INDEX('Shultis Faw'!$F$2:$F$26,MATCH($C45,'Shultis Faw'!$A$2:$A$26,1))+($C45-INDEX('Shultis Faw'!$A$2:$A$26,MATCH($C45,'Shultis Faw'!$A$2:$A$26,1)))*(INDEX('Shultis Faw'!$F$2:$F$26,MATCH($C45,'Shultis Faw'!$A$2:$A$26,1)+1)-INDEX('Shultis Faw'!$F$2:$F$26,MATCH($C45,'Shultis Faw'!$A$2:$A$26,1)))/(INDEX('Shultis Faw'!$A$2:$A$26,MATCH($C45,'Shultis Faw'!$A$2:$A$26,1)+1)-INDEX('Shultis Faw'!$A$2:$A$26,MATCH($C45,'Shultis Faw'!$A$2:$A$26,1))),$C45*'Shultis Faw'!$F$2/'Shultis Faw'!$A$2)</f>
        <v>13.373673</v>
      </c>
      <c r="N45" s="83">
        <f>J45*(H45*'Externe blootstelling'!$D$23/2)^K45+L45*(TANH(((H45*'Externe blootstelling'!$D$23)/(2*M45))-2)-TANH(-2))/(1-TANH(-2))</f>
        <v>1.8496113714304125</v>
      </c>
      <c r="O45" s="83">
        <f>IF(N45=1,1+(I45-1)*H45*'Externe blootstelling'!$D$23/2,1+(I45-1)*(N45^(H45*'Externe blootstelling'!$D$23/2)-1)/(N45-1))</f>
        <v>17.96330460855182</v>
      </c>
      <c r="P45" s="67">
        <f>G45*EXP(-H45*'Externe blootstelling'!$D$23/2)*O45</f>
        <v>5.3190963304068717E-3</v>
      </c>
      <c r="Q45" s="68"/>
    </row>
    <row r="46" spans="1:17" x14ac:dyDescent="0.2">
      <c r="A46" s="217"/>
      <c r="B46" s="64" t="s">
        <v>104</v>
      </c>
      <c r="C46" s="74">
        <v>0.10318012</v>
      </c>
      <c r="D46" s="66">
        <f t="shared" si="2"/>
        <v>1.6508819199999998E-14</v>
      </c>
      <c r="E46" s="75">
        <v>0.29189999999999999</v>
      </c>
      <c r="F46" s="66">
        <f>_xlfn.IFNA(INDEX('hp (pSv cm2)'!$B$2:$B$52,MATCH($C46,'hp (pSv cm2)'!$A$2:$A$52,1))+($C46-INDEX('hp (pSv cm2)'!$A$2:$A$52,MATCH($C46,'hp (pSv cm2)'!$A$2:$A$52,1)))*(INDEX('hp (pSv cm2)'!$B$2:$B$52,MATCH($C46,'hp (pSv cm2)'!$A$2:$A$52,1)+1)-INDEX('hp (pSv cm2)'!$B$2:$B$52,MATCH($C46,'hp (pSv cm2)'!$A$2:$A$52,1)))/(INDEX('hp (pSv cm2)'!$A$2:$A$52,MATCH($C46,'hp (pSv cm2)'!$A$2:$A$52,1)+1)-INDEX('hp (pSv cm2)'!$A$2:$A$52,MATCH($C46,'hp (pSv cm2)'!$A$2:$A$52,1))),$C46*'hp (pSv cm2)'!$B$2/'hp (pSv cm2)'!$A$2)</f>
        <v>0.5325649496</v>
      </c>
      <c r="G46" s="67">
        <f t="shared" si="3"/>
        <v>0.15545570878824</v>
      </c>
      <c r="H46" s="83">
        <f>_xlfn.IFNA(0.997*(INDEX('Mass attenuation coefficients'!$B$2:$B$37,MATCH($C46,'Mass attenuation coefficients'!$A$2:$A$37,1))+($C46-INDEX('Mass attenuation coefficients'!$A$2:$A$37,MATCH($C46,'Mass attenuation coefficients'!$A$2:$A$37,1)))*(INDEX('Mass attenuation coefficients'!$B$2:$B$37,MATCH($C46,'Mass attenuation coefficients'!$A$2:$A$37,1)+1)-INDEX('Mass attenuation coefficients'!$B$2:$B$37,MATCH($C46,'Mass attenuation coefficients'!$A$2:$A$37,1)))/(INDEX('Mass attenuation coefficients'!$A$2:$A$37,MATCH($C46,'Mass attenuation coefficients'!$A$2:$A$37,1)+1)-INDEX('Mass attenuation coefficients'!$A$2:$A$37,MATCH($C46,'Mass attenuation coefficients'!$A$2:$A$37,1)))),0.997*$C46*'Mass attenuation coefficients'!$B$2/'Mass attenuation coefficients'!$A$2)</f>
        <v>0.16890698582543998</v>
      </c>
      <c r="I46" s="83">
        <f>_xlfn.IFNA(INDEX('Shultis Faw'!$C$2:$C$26,MATCH($C46,'Shultis Faw'!$A$2:$A$26,1))+($C46-INDEX('Shultis Faw'!$A$2:$A$26,MATCH($C46,'Shultis Faw'!$A$2:$A$26,1)))*(INDEX('Shultis Faw'!$C$2:$C$26,MATCH($C46,'Shultis Faw'!$A$2:$A$26,1)+1)-INDEX('Shultis Faw'!$C$2:$C$26,MATCH($C46,'Shultis Faw'!$A$2:$A$26,1)))/(INDEX('Shultis Faw'!$A$2:$A$26,MATCH($C46,'Shultis Faw'!$A$2:$A$26,1)+1)-INDEX('Shultis Faw'!$A$2:$A$26,MATCH($C46,'Shultis Faw'!$A$2:$A$26,1))),$C46*'Shultis Faw'!$C$2/'Shultis Faw'!$A$2)</f>
        <v>4.6142805616000002</v>
      </c>
      <c r="J46" s="83">
        <f>_xlfn.IFNA(INDEX('Shultis Faw'!$D$2:$D$26,MATCH($C46,'Shultis Faw'!$A$2:$A$26,1))+($C46-INDEX('Shultis Faw'!$A$2:$A$26,MATCH($C46,'Shultis Faw'!$A$2:$A$26,1)))*(INDEX('Shultis Faw'!$D$2:$D$26,MATCH($C46,'Shultis Faw'!$A$2:$A$26,1)+1)-INDEX('Shultis Faw'!$D$2:$D$26,MATCH($C46,'Shultis Faw'!$A$2:$A$26,1)))/(INDEX('Shultis Faw'!$A$2:$A$26,MATCH($C46,'Shultis Faw'!$A$2:$A$26,1)+1)-INDEX('Shultis Faw'!$A$2:$A$26,MATCH($C46,'Shultis Faw'!$A$2:$A$26,1))),$C46*'Shultis Faw'!$D$2/'Shultis Faw'!$A$2)</f>
        <v>2.2223356504000003</v>
      </c>
      <c r="K46" s="83">
        <f>_xlfn.IFNA(INDEX('Shultis Faw'!$B$2:$B$26,MATCH($C46,'Shultis Faw'!$A$2:$A$26,1))+($C46-INDEX('Shultis Faw'!$A$2:$A$26,MATCH($C46,'Shultis Faw'!$A$2:$A$26,1)))*(INDEX('Shultis Faw'!$B$2:$B$26,MATCH($C46,'Shultis Faw'!$A$2:$A$26,1)+1)-INDEX('Shultis Faw'!$B$2:$B$26,MATCH($C46,'Shultis Faw'!$A$2:$A$26,1)))/(INDEX('Shultis Faw'!$A$2:$A$26,MATCH($C46,'Shultis Faw'!$A$2:$A$26,1)+1)-INDEX('Shultis Faw'!$A$2:$A$26,MATCH($C46,'Shultis Faw'!$A$2:$A$26,1))),$C46*'Shultis Faw'!$B$2/'Shultis Faw'!$A$2)</f>
        <v>-0.1859363976</v>
      </c>
      <c r="L46" s="83">
        <f>_xlfn.IFNA(INDEX('Shultis Faw'!$E$2:$E$26,MATCH($C46,'Shultis Faw'!$A$2:$A$26,1))+($C46-INDEX('Shultis Faw'!$A$2:$A$26,MATCH($C46,'Shultis Faw'!$A$2:$A$26,1)))*(INDEX('Shultis Faw'!$E$2:$E$26,MATCH($C46,'Shultis Faw'!$A$2:$A$26,1)+1)-INDEX('Shultis Faw'!$E$2:$E$26,MATCH($C46,'Shultis Faw'!$A$2:$A$26,1)))/(INDEX('Shultis Faw'!$A$2:$A$26,MATCH($C46,'Shultis Faw'!$A$2:$A$26,1)+1)-INDEX('Shultis Faw'!$A$2:$A$26,MATCH($C46,'Shultis Faw'!$A$2:$A$26,1))),$C46*'Shultis Faw'!$E$2/'Shultis Faw'!$A$2)</f>
        <v>8.2288348240000003E-2</v>
      </c>
      <c r="M46" s="83">
        <f>_xlfn.IFNA(INDEX('Shultis Faw'!$F$2:$F$26,MATCH($C46,'Shultis Faw'!$A$2:$A$26,1))+($C46-INDEX('Shultis Faw'!$A$2:$A$26,MATCH($C46,'Shultis Faw'!$A$2:$A$26,1)))*(INDEX('Shultis Faw'!$F$2:$F$26,MATCH($C46,'Shultis Faw'!$A$2:$A$26,1)+1)-INDEX('Shultis Faw'!$F$2:$F$26,MATCH($C46,'Shultis Faw'!$A$2:$A$26,1)))/(INDEX('Shultis Faw'!$A$2:$A$26,MATCH($C46,'Shultis Faw'!$A$2:$A$26,1)+1)-INDEX('Shultis Faw'!$A$2:$A$26,MATCH($C46,'Shultis Faw'!$A$2:$A$26,1))),$C46*'Shultis Faw'!$F$2/'Shultis Faw'!$A$2)</f>
        <v>13.384698064</v>
      </c>
      <c r="N46" s="83">
        <f>J46*(H46*'Externe blootstelling'!$D$23/2)^K46+L46*(TANH(((H46*'Externe blootstelling'!$D$23)/(2*M46))-2)-TANH(-2))/(1-TANH(-2))</f>
        <v>1.8702376771560516</v>
      </c>
      <c r="O46" s="83">
        <f>IF(N46=1,1+(I46-1)*H46*'Externe blootstelling'!$D$23/2,1+(I46-1)*(N46^(H46*'Externe blootstelling'!$D$23/2)-1)/(N46-1))</f>
        <v>17.135900178190433</v>
      </c>
      <c r="P46" s="67">
        <f>G46*EXP(-H46*'Externe blootstelling'!$D$23/2)*O46</f>
        <v>0.21143798939387942</v>
      </c>
      <c r="Q46" s="68"/>
    </row>
    <row r="47" spans="1:17" x14ac:dyDescent="0.2">
      <c r="A47" s="217"/>
      <c r="B47" s="64" t="s">
        <v>104</v>
      </c>
      <c r="C47" s="65">
        <v>0.11811050000000001</v>
      </c>
      <c r="D47" s="66">
        <f t="shared" si="2"/>
        <v>1.8897679999999998E-14</v>
      </c>
      <c r="E47" s="66">
        <v>2.3E-6</v>
      </c>
      <c r="F47" s="66">
        <f>_xlfn.IFNA(INDEX('hp (pSv cm2)'!$B$2:$B$52,MATCH($C47,'hp (pSv cm2)'!$A$2:$A$52,1))+($C47-INDEX('hp (pSv cm2)'!$A$2:$A$52,MATCH($C47,'hp (pSv cm2)'!$A$2:$A$52,1)))*(INDEX('hp (pSv cm2)'!$B$2:$B$52,MATCH($C47,'hp (pSv cm2)'!$A$2:$A$52,1)+1)-INDEX('hp (pSv cm2)'!$B$2:$B$52,MATCH($C47,'hp (pSv cm2)'!$A$2:$A$52,1)))/(INDEX('hp (pSv cm2)'!$A$2:$A$52,MATCH($C47,'hp (pSv cm2)'!$A$2:$A$52,1)+1)-INDEX('hp (pSv cm2)'!$A$2:$A$52,MATCH($C47,'hp (pSv cm2)'!$A$2:$A$52,1))),$C47*'hp (pSv cm2)'!$B$2/'hp (pSv cm2)'!$A$2)</f>
        <v>0.60094608999999999</v>
      </c>
      <c r="G47" s="67">
        <f t="shared" si="3"/>
        <v>1.382176007E-6</v>
      </c>
      <c r="H47" s="83">
        <f>_xlfn.IFNA(0.997*(INDEX('Mass attenuation coefficients'!$B$2:$B$37,MATCH($C47,'Mass attenuation coefficients'!$A$2:$A$37,1))+($C47-INDEX('Mass attenuation coefficients'!$A$2:$A$37,MATCH($C47,'Mass attenuation coefficients'!$A$2:$A$37,1)))*(INDEX('Mass attenuation coefficients'!$B$2:$B$37,MATCH($C47,'Mass attenuation coefficients'!$A$2:$A$37,1)+1)-INDEX('Mass attenuation coefficients'!$B$2:$B$37,MATCH($C47,'Mass attenuation coefficients'!$A$2:$A$37,1)))/(INDEX('Mass attenuation coefficients'!$A$2:$A$37,MATCH($C47,'Mass attenuation coefficients'!$A$2:$A$37,1)+1)-INDEX('Mass attenuation coefficients'!$A$2:$A$37,MATCH($C47,'Mass attenuation coefficients'!$A$2:$A$37,1)))),0.997*$C47*'Mass attenuation coefficients'!$B$2/'Mass attenuation coefficients'!$A$2)</f>
        <v>0.16289320792599998</v>
      </c>
      <c r="I47" s="83">
        <f>_xlfn.IFNA(INDEX('Shultis Faw'!$C$2:$C$26,MATCH($C47,'Shultis Faw'!$A$2:$A$26,1))+($C47-INDEX('Shultis Faw'!$A$2:$A$26,MATCH($C47,'Shultis Faw'!$A$2:$A$26,1)))*(INDEX('Shultis Faw'!$C$2:$C$26,MATCH($C47,'Shultis Faw'!$A$2:$A$26,1)+1)-INDEX('Shultis Faw'!$C$2:$C$26,MATCH($C47,'Shultis Faw'!$A$2:$A$26,1)))/(INDEX('Shultis Faw'!$A$2:$A$26,MATCH($C47,'Shultis Faw'!$A$2:$A$26,1)+1)-INDEX('Shultis Faw'!$A$2:$A$26,MATCH($C47,'Shultis Faw'!$A$2:$A$26,1))),$C47*'Shultis Faw'!$C$2/'Shultis Faw'!$A$2)</f>
        <v>4.3855471399999999</v>
      </c>
      <c r="J47" s="83">
        <f>_xlfn.IFNA(INDEX('Shultis Faw'!$D$2:$D$26,MATCH($C47,'Shultis Faw'!$A$2:$A$26,1))+($C47-INDEX('Shultis Faw'!$A$2:$A$26,MATCH($C47,'Shultis Faw'!$A$2:$A$26,1)))*(INDEX('Shultis Faw'!$D$2:$D$26,MATCH($C47,'Shultis Faw'!$A$2:$A$26,1)+1)-INDEX('Shultis Faw'!$D$2:$D$26,MATCH($C47,'Shultis Faw'!$A$2:$A$26,1)))/(INDEX('Shultis Faw'!$A$2:$A$26,MATCH($C47,'Shultis Faw'!$A$2:$A$26,1)+1)-INDEX('Shultis Faw'!$A$2:$A$26,MATCH($C47,'Shultis Faw'!$A$2:$A$26,1))),$C47*'Shultis Faw'!$D$2/'Shultis Faw'!$A$2)</f>
        <v>2.2286064100000003</v>
      </c>
      <c r="K47" s="83">
        <f>_xlfn.IFNA(INDEX('Shultis Faw'!$B$2:$B$26,MATCH($C47,'Shultis Faw'!$A$2:$A$26,1))+($C47-INDEX('Shultis Faw'!$A$2:$A$26,MATCH($C47,'Shultis Faw'!$A$2:$A$26,1)))*(INDEX('Shultis Faw'!$B$2:$B$26,MATCH($C47,'Shultis Faw'!$A$2:$A$26,1)+1)-INDEX('Shultis Faw'!$B$2:$B$26,MATCH($C47,'Shultis Faw'!$A$2:$A$26,1)))/(INDEX('Shultis Faw'!$A$2:$A$26,MATCH($C47,'Shultis Faw'!$A$2:$A$26,1)+1)-INDEX('Shultis Faw'!$A$2:$A$26,MATCH($C47,'Shultis Faw'!$A$2:$A$26,1))),$C47*'Shultis Faw'!$B$2/'Shultis Faw'!$A$2)</f>
        <v>-0.18563779</v>
      </c>
      <c r="L47" s="83">
        <f>_xlfn.IFNA(INDEX('Shultis Faw'!$E$2:$E$26,MATCH($C47,'Shultis Faw'!$A$2:$A$26,1))+($C47-INDEX('Shultis Faw'!$A$2:$A$26,MATCH($C47,'Shultis Faw'!$A$2:$A$26,1)))*(INDEX('Shultis Faw'!$E$2:$E$26,MATCH($C47,'Shultis Faw'!$A$2:$A$26,1)+1)-INDEX('Shultis Faw'!$E$2:$E$26,MATCH($C47,'Shultis Faw'!$A$2:$A$26,1)))/(INDEX('Shultis Faw'!$A$2:$A$26,MATCH($C47,'Shultis Faw'!$A$2:$A$26,1)+1)-INDEX('Shultis Faw'!$A$2:$A$26,MATCH($C47,'Shultis Faw'!$A$2:$A$26,1))),$C47*'Shultis Faw'!$E$2/'Shultis Faw'!$A$2)</f>
        <v>8.0825171000000001E-2</v>
      </c>
      <c r="M47" s="83">
        <f>_xlfn.IFNA(INDEX('Shultis Faw'!$F$2:$F$26,MATCH($C47,'Shultis Faw'!$A$2:$A$26,1))+($C47-INDEX('Shultis Faw'!$A$2:$A$26,MATCH($C47,'Shultis Faw'!$A$2:$A$26,1)))*(INDEX('Shultis Faw'!$F$2:$F$26,MATCH($C47,'Shultis Faw'!$A$2:$A$26,1)+1)-INDEX('Shultis Faw'!$F$2:$F$26,MATCH($C47,'Shultis Faw'!$A$2:$A$26,1)))/(INDEX('Shultis Faw'!$A$2:$A$26,MATCH($C47,'Shultis Faw'!$A$2:$A$26,1)+1)-INDEX('Shultis Faw'!$A$2:$A$26,MATCH($C47,'Shultis Faw'!$A$2:$A$26,1))),$C47*'Shultis Faw'!$F$2/'Shultis Faw'!$A$2)</f>
        <v>13.641500600000001</v>
      </c>
      <c r="N47" s="83">
        <f>J47*(H47*'Externe blootstelling'!$D$23/2)^K47+L47*(TANH(((H47*'Externe blootstelling'!$D$23)/(2*M47))-2)-TANH(-2))/(1-TANH(-2))</f>
        <v>1.8886431539185526</v>
      </c>
      <c r="O47" s="83">
        <f>IF(N47=1,1+(I47-1)*H47*'Externe blootstelling'!$D$23/2,1+(I47-1)*(N47^(H47*'Externe blootstelling'!$D$23/2)-1)/(N47-1))</f>
        <v>15.205677758875845</v>
      </c>
      <c r="P47" s="67">
        <f>G47*EXP(-H47*'Externe blootstelling'!$D$23/2)*O47</f>
        <v>1.8256386115249806E-6</v>
      </c>
      <c r="Q47" s="68"/>
    </row>
    <row r="48" spans="1:17" x14ac:dyDescent="0.2">
      <c r="A48" s="217"/>
      <c r="B48" s="64" t="s">
        <v>104</v>
      </c>
      <c r="C48" s="65">
        <v>0.15162440000000002</v>
      </c>
      <c r="D48" s="66">
        <f t="shared" si="2"/>
        <v>2.4259904000000004E-14</v>
      </c>
      <c r="E48" s="66">
        <v>1.033E-4</v>
      </c>
      <c r="F48" s="66">
        <f>_xlfn.IFNA(INDEX('hp (pSv cm2)'!$B$2:$B$52,MATCH($C48,'hp (pSv cm2)'!$A$2:$A$52,1))+($C48-INDEX('hp (pSv cm2)'!$A$2:$A$52,MATCH($C48,'hp (pSv cm2)'!$A$2:$A$52,1)))*(INDEX('hp (pSv cm2)'!$B$2:$B$52,MATCH($C48,'hp (pSv cm2)'!$A$2:$A$52,1)+1)-INDEX('hp (pSv cm2)'!$B$2:$B$52,MATCH($C48,'hp (pSv cm2)'!$A$2:$A$52,1)))/(INDEX('hp (pSv cm2)'!$A$2:$A$52,MATCH($C48,'hp (pSv cm2)'!$A$2:$A$52,1)+1)-INDEX('hp (pSv cm2)'!$A$2:$A$52,MATCH($C48,'hp (pSv cm2)'!$A$2:$A$52,1))),$C48*'hp (pSv cm2)'!$B$2/'hp (pSv cm2)'!$A$2)</f>
        <v>0.75521946400000017</v>
      </c>
      <c r="G48" s="67">
        <f t="shared" si="3"/>
        <v>7.8014170631200022E-5</v>
      </c>
      <c r="H48" s="83">
        <f>_xlfn.IFNA(0.997*(INDEX('Mass attenuation coefficients'!$B$2:$B$37,MATCH($C48,'Mass attenuation coefficients'!$A$2:$A$37,1))+($C48-INDEX('Mass attenuation coefficients'!$A$2:$A$37,MATCH($C48,'Mass attenuation coefficients'!$A$2:$A$37,1)))*(INDEX('Mass attenuation coefficients'!$B$2:$B$37,MATCH($C48,'Mass attenuation coefficients'!$A$2:$A$37,1)+1)-INDEX('Mass attenuation coefficients'!$B$2:$B$37,MATCH($C48,'Mass attenuation coefficients'!$A$2:$A$37,1)))/(INDEX('Mass attenuation coefficients'!$A$2:$A$37,MATCH($C48,'Mass attenuation coefficients'!$A$2:$A$37,1)+1)-INDEX('Mass attenuation coefficients'!$A$2:$A$37,MATCH($C48,'Mass attenuation coefficients'!$A$2:$A$37,1)))),0.997*$C48*'Mass attenuation coefficients'!$B$2/'Mass attenuation coefficients'!$A$2)</f>
        <v>0.14961122776399999</v>
      </c>
      <c r="I48" s="83">
        <f>_xlfn.IFNA(INDEX('Shultis Faw'!$C$2:$C$26,MATCH($C48,'Shultis Faw'!$A$2:$A$26,1))+($C48-INDEX('Shultis Faw'!$A$2:$A$26,MATCH($C48,'Shultis Faw'!$A$2:$A$26,1)))*(INDEX('Shultis Faw'!$C$2:$C$26,MATCH($C48,'Shultis Faw'!$A$2:$A$26,1)+1)-INDEX('Shultis Faw'!$C$2:$C$26,MATCH($C48,'Shultis Faw'!$A$2:$A$26,1)))/(INDEX('Shultis Faw'!$A$2:$A$26,MATCH($C48,'Shultis Faw'!$A$2:$A$26,1)+1)-INDEX('Shultis Faw'!$A$2:$A$26,MATCH($C48,'Shultis Faw'!$A$2:$A$26,1))),$C48*'Shultis Faw'!$C$2/'Shultis Faw'!$A$2)</f>
        <v>3.8833875279999996</v>
      </c>
      <c r="J48" s="83">
        <f>_xlfn.IFNA(INDEX('Shultis Faw'!$D$2:$D$26,MATCH($C48,'Shultis Faw'!$A$2:$A$26,1))+($C48-INDEX('Shultis Faw'!$A$2:$A$26,MATCH($C48,'Shultis Faw'!$A$2:$A$26,1)))*(INDEX('Shultis Faw'!$D$2:$D$26,MATCH($C48,'Shultis Faw'!$A$2:$A$26,1)+1)-INDEX('Shultis Faw'!$D$2:$D$26,MATCH($C48,'Shultis Faw'!$A$2:$A$26,1)))/(INDEX('Shultis Faw'!$A$2:$A$26,MATCH($C48,'Shultis Faw'!$A$2:$A$26,1)+1)-INDEX('Shultis Faw'!$A$2:$A$26,MATCH($C48,'Shultis Faw'!$A$2:$A$26,1))),$C48*'Shultis Faw'!$D$2/'Shultis Faw'!$A$2)</f>
        <v>2.2391410559999998</v>
      </c>
      <c r="K48" s="83">
        <f>_xlfn.IFNA(INDEX('Shultis Faw'!$B$2:$B$26,MATCH($C48,'Shultis Faw'!$A$2:$A$26,1))+($C48-INDEX('Shultis Faw'!$A$2:$A$26,MATCH($C48,'Shultis Faw'!$A$2:$A$26,1)))*(INDEX('Shultis Faw'!$B$2:$B$26,MATCH($C48,'Shultis Faw'!$A$2:$A$26,1)+1)-INDEX('Shultis Faw'!$B$2:$B$26,MATCH($C48,'Shultis Faw'!$A$2:$A$26,1)))/(INDEX('Shultis Faw'!$A$2:$A$26,MATCH($C48,'Shultis Faw'!$A$2:$A$26,1)+1)-INDEX('Shultis Faw'!$A$2:$A$26,MATCH($C48,'Shultis Faw'!$A$2:$A$26,1))),$C48*'Shultis Faw'!$B$2/'Shultis Faw'!$A$2)</f>
        <v>-0.184707608</v>
      </c>
      <c r="L48" s="83">
        <f>_xlfn.IFNA(INDEX('Shultis Faw'!$E$2:$E$26,MATCH($C48,'Shultis Faw'!$A$2:$A$26,1))+($C48-INDEX('Shultis Faw'!$A$2:$A$26,MATCH($C48,'Shultis Faw'!$A$2:$A$26,1)))*(INDEX('Shultis Faw'!$E$2:$E$26,MATCH($C48,'Shultis Faw'!$A$2:$A$26,1)+1)-INDEX('Shultis Faw'!$E$2:$E$26,MATCH($C48,'Shultis Faw'!$A$2:$A$26,1)))/(INDEX('Shultis Faw'!$A$2:$A$26,MATCH($C48,'Shultis Faw'!$A$2:$A$26,1)+1)-INDEX('Shultis Faw'!$A$2:$A$26,MATCH($C48,'Shultis Faw'!$A$2:$A$26,1))),$C48*'Shultis Faw'!$E$2/'Shultis Faw'!$A$2)</f>
        <v>7.7690253600000009E-2</v>
      </c>
      <c r="M48" s="83">
        <f>_xlfn.IFNA(INDEX('Shultis Faw'!$F$2:$F$26,MATCH($C48,'Shultis Faw'!$A$2:$A$26,1))+($C48-INDEX('Shultis Faw'!$A$2:$A$26,MATCH($C48,'Shultis Faw'!$A$2:$A$26,1)))*(INDEX('Shultis Faw'!$F$2:$F$26,MATCH($C48,'Shultis Faw'!$A$2:$A$26,1)+1)-INDEX('Shultis Faw'!$F$2:$F$26,MATCH($C48,'Shultis Faw'!$A$2:$A$26,1)))/(INDEX('Shultis Faw'!$A$2:$A$26,MATCH($C48,'Shultis Faw'!$A$2:$A$26,1)+1)-INDEX('Shultis Faw'!$A$2:$A$26,MATCH($C48,'Shultis Faw'!$A$2:$A$26,1))),$C48*'Shultis Faw'!$F$2/'Shultis Faw'!$A$2)</f>
        <v>14.20007128</v>
      </c>
      <c r="N48" s="83">
        <f>J48*(H48*'Externe blootstelling'!$D$23/2)^K48+L48*(TANH(((H48*'Externe blootstelling'!$D$23)/(2*M48))-2)-TANH(-2))/(1-TANH(-2))</f>
        <v>1.9291012511280163</v>
      </c>
      <c r="O48" s="83">
        <f>IF(N48=1,1+(I48-1)*H48*'Externe blootstelling'!$D$23/2,1+(I48-1)*(N48^(H48*'Externe blootstelling'!$D$23/2)-1)/(N48-1))</f>
        <v>11.455491739975384</v>
      </c>
      <c r="P48" s="67">
        <f>G48*EXP(-H48*'Externe blootstelling'!$D$23/2)*O48</f>
        <v>9.4745212165284326E-5</v>
      </c>
      <c r="Q48" s="68"/>
    </row>
    <row r="49" spans="1:17" x14ac:dyDescent="0.2">
      <c r="A49" s="217"/>
      <c r="B49" s="64" t="s">
        <v>104</v>
      </c>
      <c r="C49" s="65">
        <v>0.1665546</v>
      </c>
      <c r="D49" s="66">
        <f t="shared" si="2"/>
        <v>2.6648735999999999E-14</v>
      </c>
      <c r="E49" s="66">
        <v>6.1E-6</v>
      </c>
      <c r="F49" s="66">
        <f>_xlfn.IFNA(INDEX('hp (pSv cm2)'!$B$2:$B$52,MATCH($C49,'hp (pSv cm2)'!$A$2:$A$52,1))+($C49-INDEX('hp (pSv cm2)'!$A$2:$A$52,MATCH($C49,'hp (pSv cm2)'!$A$2:$A$52,1)))*(INDEX('hp (pSv cm2)'!$B$2:$B$52,MATCH($C49,'hp (pSv cm2)'!$A$2:$A$52,1)+1)-INDEX('hp (pSv cm2)'!$B$2:$B$52,MATCH($C49,'hp (pSv cm2)'!$A$2:$A$52,1)))/(INDEX('hp (pSv cm2)'!$A$2:$A$52,MATCH($C49,'hp (pSv cm2)'!$A$2:$A$52,1)+1)-INDEX('hp (pSv cm2)'!$A$2:$A$52,MATCH($C49,'hp (pSv cm2)'!$A$2:$A$52,1))),$C49*'hp (pSv cm2)'!$B$2/'hp (pSv cm2)'!$A$2)</f>
        <v>0.83076627599999997</v>
      </c>
      <c r="G49" s="67">
        <f t="shared" si="3"/>
        <v>5.0676742835999998E-6</v>
      </c>
      <c r="H49" s="83">
        <f>_xlfn.IFNA(0.997*(INDEX('Mass attenuation coefficients'!$B$2:$B$37,MATCH($C49,'Mass attenuation coefficients'!$A$2:$A$37,1))+($C49-INDEX('Mass attenuation coefficients'!$A$2:$A$37,MATCH($C49,'Mass attenuation coefficients'!$A$2:$A$37,1)))*(INDEX('Mass attenuation coefficients'!$B$2:$B$37,MATCH($C49,'Mass attenuation coefficients'!$A$2:$A$37,1)+1)-INDEX('Mass attenuation coefficients'!$B$2:$B$37,MATCH($C49,'Mass attenuation coefficients'!$A$2:$A$37,1)))/(INDEX('Mass attenuation coefficients'!$A$2:$A$37,MATCH($C49,'Mass attenuation coefficients'!$A$2:$A$37,1)+1)-INDEX('Mass attenuation coefficients'!$A$2:$A$37,MATCH($C49,'Mass attenuation coefficients'!$A$2:$A$37,1)))),0.997*$C49*'Mass attenuation coefficients'!$B$2/'Mass attenuation coefficients'!$A$2)</f>
        <v>0.14559216722599999</v>
      </c>
      <c r="I49" s="83">
        <f>_xlfn.IFNA(INDEX('Shultis Faw'!$C$2:$C$26,MATCH($C49,'Shultis Faw'!$A$2:$A$26,1))+($C49-INDEX('Shultis Faw'!$A$2:$A$26,MATCH($C49,'Shultis Faw'!$A$2:$A$26,1)))*(INDEX('Shultis Faw'!$C$2:$C$26,MATCH($C49,'Shultis Faw'!$A$2:$A$26,1)+1)-INDEX('Shultis Faw'!$C$2:$C$26,MATCH($C49,'Shultis Faw'!$A$2:$A$26,1)))/(INDEX('Shultis Faw'!$A$2:$A$26,MATCH($C49,'Shultis Faw'!$A$2:$A$26,1)+1)-INDEX('Shultis Faw'!$A$2:$A$26,MATCH($C49,'Shultis Faw'!$A$2:$A$26,1))),$C49*'Shultis Faw'!$C$2/'Shultis Faw'!$A$2)</f>
        <v>3.7582724519999999</v>
      </c>
      <c r="J49" s="83">
        <f>_xlfn.IFNA(INDEX('Shultis Faw'!$D$2:$D$26,MATCH($C49,'Shultis Faw'!$A$2:$A$26,1))+($C49-INDEX('Shultis Faw'!$A$2:$A$26,MATCH($C49,'Shultis Faw'!$A$2:$A$26,1)))*(INDEX('Shultis Faw'!$D$2:$D$26,MATCH($C49,'Shultis Faw'!$A$2:$A$26,1)+1)-INDEX('Shultis Faw'!$D$2:$D$26,MATCH($C49,'Shultis Faw'!$A$2:$A$26,1)))/(INDEX('Shultis Faw'!$A$2:$A$26,MATCH($C49,'Shultis Faw'!$A$2:$A$26,1)+1)-INDEX('Shultis Faw'!$A$2:$A$26,MATCH($C49,'Shultis Faw'!$A$2:$A$26,1))),$C49*'Shultis Faw'!$D$2/'Shultis Faw'!$A$2)</f>
        <v>2.2128639039999998</v>
      </c>
      <c r="K49" s="83">
        <f>_xlfn.IFNA(INDEX('Shultis Faw'!$B$2:$B$26,MATCH($C49,'Shultis Faw'!$A$2:$A$26,1))+($C49-INDEX('Shultis Faw'!$A$2:$A$26,MATCH($C49,'Shultis Faw'!$A$2:$A$26,1)))*(INDEX('Shultis Faw'!$B$2:$B$26,MATCH($C49,'Shultis Faw'!$A$2:$A$26,1)+1)-INDEX('Shultis Faw'!$B$2:$B$26,MATCH($C49,'Shultis Faw'!$A$2:$A$26,1)))/(INDEX('Shultis Faw'!$A$2:$A$26,MATCH($C49,'Shultis Faw'!$A$2:$A$26,1)+1)-INDEX('Shultis Faw'!$A$2:$A$26,MATCH($C49,'Shultis Faw'!$A$2:$A$26,1))),$C49*'Shultis Faw'!$B$2/'Shultis Faw'!$A$2)</f>
        <v>-0.18202017200000001</v>
      </c>
      <c r="L49" s="83">
        <f>_xlfn.IFNA(INDEX('Shultis Faw'!$E$2:$E$26,MATCH($C49,'Shultis Faw'!$A$2:$A$26,1))+($C49-INDEX('Shultis Faw'!$A$2:$A$26,MATCH($C49,'Shultis Faw'!$A$2:$A$26,1)))*(INDEX('Shultis Faw'!$E$2:$E$26,MATCH($C49,'Shultis Faw'!$A$2:$A$26,1)+1)-INDEX('Shultis Faw'!$E$2:$E$26,MATCH($C49,'Shultis Faw'!$A$2:$A$26,1)))/(INDEX('Shultis Faw'!$A$2:$A$26,MATCH($C49,'Shultis Faw'!$A$2:$A$26,1)+1)-INDEX('Shultis Faw'!$A$2:$A$26,MATCH($C49,'Shultis Faw'!$A$2:$A$26,1))),$C49*'Shultis Faw'!$E$2/'Shultis Faw'!$A$2)</f>
        <v>7.7600672400000001E-2</v>
      </c>
      <c r="M49" s="83">
        <f>_xlfn.IFNA(INDEX('Shultis Faw'!$F$2:$F$26,MATCH($C49,'Shultis Faw'!$A$2:$A$26,1))+($C49-INDEX('Shultis Faw'!$A$2:$A$26,MATCH($C49,'Shultis Faw'!$A$2:$A$26,1)))*(INDEX('Shultis Faw'!$F$2:$F$26,MATCH($C49,'Shultis Faw'!$A$2:$A$26,1)+1)-INDEX('Shultis Faw'!$F$2:$F$26,MATCH($C49,'Shultis Faw'!$A$2:$A$26,1)))/(INDEX('Shultis Faw'!$A$2:$A$26,MATCH($C49,'Shultis Faw'!$A$2:$A$26,1)+1)-INDEX('Shultis Faw'!$A$2:$A$26,MATCH($C49,'Shultis Faw'!$A$2:$A$26,1))),$C49*'Shultis Faw'!$F$2/'Shultis Faw'!$A$2)</f>
        <v>14.292638519999999</v>
      </c>
      <c r="N49" s="83">
        <f>J49*(H49*'Externe blootstelling'!$D$23/2)^K49+L49*(TANH(((H49*'Externe blootstelling'!$D$23)/(2*M49))-2)-TANH(-2))/(1-TANH(-2))</f>
        <v>1.9200841761305916</v>
      </c>
      <c r="O49" s="83">
        <f>IF(N49=1,1+(I49-1)*H49*'Externe blootstelling'!$D$23/2,1+(I49-1)*(N49^(H49*'Externe blootstelling'!$D$23/2)-1)/(N49-1))</f>
        <v>10.463005240567799</v>
      </c>
      <c r="P49" s="67">
        <f>G49*EXP(-H49*'Externe blootstelling'!$D$23/2)*O49</f>
        <v>5.9705867642889737E-6</v>
      </c>
      <c r="Q49" s="68"/>
    </row>
    <row r="50" spans="1:17" x14ac:dyDescent="0.2">
      <c r="A50" s="217"/>
      <c r="B50" s="64" t="s">
        <v>104</v>
      </c>
      <c r="C50" s="65">
        <v>0.17230320000000002</v>
      </c>
      <c r="D50" s="66">
        <f t="shared" si="2"/>
        <v>2.7568511999999999E-14</v>
      </c>
      <c r="E50" s="66">
        <v>3.9999999999999998E-6</v>
      </c>
      <c r="F50" s="66">
        <f>_xlfn.IFNA(INDEX('hp (pSv cm2)'!$B$2:$B$52,MATCH($C50,'hp (pSv cm2)'!$A$2:$A$52,1))+($C50-INDEX('hp (pSv cm2)'!$A$2:$A$52,MATCH($C50,'hp (pSv cm2)'!$A$2:$A$52,1)))*(INDEX('hp (pSv cm2)'!$B$2:$B$52,MATCH($C50,'hp (pSv cm2)'!$A$2:$A$52,1)+1)-INDEX('hp (pSv cm2)'!$B$2:$B$52,MATCH($C50,'hp (pSv cm2)'!$A$2:$A$52,1)))/(INDEX('hp (pSv cm2)'!$A$2:$A$52,MATCH($C50,'hp (pSv cm2)'!$A$2:$A$52,1)+1)-INDEX('hp (pSv cm2)'!$A$2:$A$52,MATCH($C50,'hp (pSv cm2)'!$A$2:$A$52,1))),$C50*'hp (pSv cm2)'!$B$2/'hp (pSv cm2)'!$A$2)</f>
        <v>0.85985419200000002</v>
      </c>
      <c r="G50" s="67">
        <f t="shared" si="3"/>
        <v>3.4394167679999999E-6</v>
      </c>
      <c r="H50" s="83">
        <f>_xlfn.IFNA(0.997*(INDEX('Mass attenuation coefficients'!$B$2:$B$37,MATCH($C50,'Mass attenuation coefficients'!$A$2:$A$37,1))+($C50-INDEX('Mass attenuation coefficients'!$A$2:$A$37,MATCH($C50,'Mass attenuation coefficients'!$A$2:$A$37,1)))*(INDEX('Mass attenuation coefficients'!$B$2:$B$37,MATCH($C50,'Mass attenuation coefficients'!$A$2:$A$37,1)+1)-INDEX('Mass attenuation coefficients'!$B$2:$B$37,MATCH($C50,'Mass attenuation coefficients'!$A$2:$A$37,1)))/(INDEX('Mass attenuation coefficients'!$A$2:$A$37,MATCH($C50,'Mass attenuation coefficients'!$A$2:$A$37,1)+1)-INDEX('Mass attenuation coefficients'!$A$2:$A$37,MATCH($C50,'Mass attenuation coefficients'!$A$2:$A$37,1)))),0.997*$C50*'Mass attenuation coefficients'!$B$2/'Mass attenuation coefficients'!$A$2)</f>
        <v>0.144044701592</v>
      </c>
      <c r="I50" s="83">
        <f>_xlfn.IFNA(INDEX('Shultis Faw'!$C$2:$C$26,MATCH($C50,'Shultis Faw'!$A$2:$A$26,1))+($C50-INDEX('Shultis Faw'!$A$2:$A$26,MATCH($C50,'Shultis Faw'!$A$2:$A$26,1)))*(INDEX('Shultis Faw'!$C$2:$C$26,MATCH($C50,'Shultis Faw'!$A$2:$A$26,1)+1)-INDEX('Shultis Faw'!$C$2:$C$26,MATCH($C50,'Shultis Faw'!$A$2:$A$26,1)))/(INDEX('Shultis Faw'!$A$2:$A$26,MATCH($C50,'Shultis Faw'!$A$2:$A$26,1)+1)-INDEX('Shultis Faw'!$A$2:$A$26,MATCH($C50,'Shultis Faw'!$A$2:$A$26,1))),$C50*'Shultis Faw'!$C$2/'Shultis Faw'!$A$2)</f>
        <v>3.7100991839999997</v>
      </c>
      <c r="J50" s="83">
        <f>_xlfn.IFNA(INDEX('Shultis Faw'!$D$2:$D$26,MATCH($C50,'Shultis Faw'!$A$2:$A$26,1))+($C50-INDEX('Shultis Faw'!$A$2:$A$26,MATCH($C50,'Shultis Faw'!$A$2:$A$26,1)))*(INDEX('Shultis Faw'!$D$2:$D$26,MATCH($C50,'Shultis Faw'!$A$2:$A$26,1)+1)-INDEX('Shultis Faw'!$D$2:$D$26,MATCH($C50,'Shultis Faw'!$A$2:$A$26,1)))/(INDEX('Shultis Faw'!$A$2:$A$26,MATCH($C50,'Shultis Faw'!$A$2:$A$26,1)+1)-INDEX('Shultis Faw'!$A$2:$A$26,MATCH($C50,'Shultis Faw'!$A$2:$A$26,1))),$C50*'Shultis Faw'!$D$2/'Shultis Faw'!$A$2)</f>
        <v>2.2027463680000001</v>
      </c>
      <c r="K50" s="83">
        <f>_xlfn.IFNA(INDEX('Shultis Faw'!$B$2:$B$26,MATCH($C50,'Shultis Faw'!$A$2:$A$26,1))+($C50-INDEX('Shultis Faw'!$A$2:$A$26,MATCH($C50,'Shultis Faw'!$A$2:$A$26,1)))*(INDEX('Shultis Faw'!$B$2:$B$26,MATCH($C50,'Shultis Faw'!$A$2:$A$26,1)+1)-INDEX('Shultis Faw'!$B$2:$B$26,MATCH($C50,'Shultis Faw'!$A$2:$A$26,1)))/(INDEX('Shultis Faw'!$A$2:$A$26,MATCH($C50,'Shultis Faw'!$A$2:$A$26,1)+1)-INDEX('Shultis Faw'!$A$2:$A$26,MATCH($C50,'Shultis Faw'!$A$2:$A$26,1))),$C50*'Shultis Faw'!$B$2/'Shultis Faw'!$A$2)</f>
        <v>-0.18098542399999998</v>
      </c>
      <c r="L50" s="83">
        <f>_xlfn.IFNA(INDEX('Shultis Faw'!$E$2:$E$26,MATCH($C50,'Shultis Faw'!$A$2:$A$26,1))+($C50-INDEX('Shultis Faw'!$A$2:$A$26,MATCH($C50,'Shultis Faw'!$A$2:$A$26,1)))*(INDEX('Shultis Faw'!$E$2:$E$26,MATCH($C50,'Shultis Faw'!$A$2:$A$26,1)+1)-INDEX('Shultis Faw'!$E$2:$E$26,MATCH($C50,'Shultis Faw'!$A$2:$A$26,1)))/(INDEX('Shultis Faw'!$A$2:$A$26,MATCH($C50,'Shultis Faw'!$A$2:$A$26,1)+1)-INDEX('Shultis Faw'!$A$2:$A$26,MATCH($C50,'Shultis Faw'!$A$2:$A$26,1))),$C50*'Shultis Faw'!$E$2/'Shultis Faw'!$A$2)</f>
        <v>7.7566180799999995E-2</v>
      </c>
      <c r="M50" s="83">
        <f>_xlfn.IFNA(INDEX('Shultis Faw'!$F$2:$F$26,MATCH($C50,'Shultis Faw'!$A$2:$A$26,1))+($C50-INDEX('Shultis Faw'!$A$2:$A$26,MATCH($C50,'Shultis Faw'!$A$2:$A$26,1)))*(INDEX('Shultis Faw'!$F$2:$F$26,MATCH($C50,'Shultis Faw'!$A$2:$A$26,1)+1)-INDEX('Shultis Faw'!$F$2:$F$26,MATCH($C50,'Shultis Faw'!$A$2:$A$26,1)))/(INDEX('Shultis Faw'!$A$2:$A$26,MATCH($C50,'Shultis Faw'!$A$2:$A$26,1)+1)-INDEX('Shultis Faw'!$A$2:$A$26,MATCH($C50,'Shultis Faw'!$A$2:$A$26,1))),$C50*'Shultis Faw'!$F$2/'Shultis Faw'!$A$2)</f>
        <v>14.32827984</v>
      </c>
      <c r="N50" s="83">
        <f>J50*(H50*'Externe blootstelling'!$D$23/2)^K50+L50*(TANH(((H50*'Externe blootstelling'!$D$23)/(2*M50))-2)-TANH(-2))/(1-TANH(-2))</f>
        <v>1.9165468616119432</v>
      </c>
      <c r="O50" s="83">
        <f>IF(N50=1,1+(I50-1)*H50*'Externe blootstelling'!$D$23/2,1+(I50-1)*(N50^(H50*'Externe blootstelling'!$D$23/2)-1)/(N50-1))</f>
        <v>10.100771434865143</v>
      </c>
      <c r="P50" s="67">
        <f>G50*EXP(-H50*'Externe blootstelling'!$D$23/2)*O50</f>
        <v>4.0037971149011694E-6</v>
      </c>
      <c r="Q50" s="68"/>
    </row>
    <row r="51" spans="1:17" x14ac:dyDescent="0.2">
      <c r="A51" s="217"/>
      <c r="B51" s="64" t="s">
        <v>104</v>
      </c>
      <c r="C51" s="65">
        <v>0.17285307</v>
      </c>
      <c r="D51" s="66">
        <f t="shared" si="2"/>
        <v>2.76564912E-14</v>
      </c>
      <c r="E51" s="66">
        <v>7.36E-4</v>
      </c>
      <c r="F51" s="66">
        <f>_xlfn.IFNA(INDEX('hp (pSv cm2)'!$B$2:$B$52,MATCH($C51,'hp (pSv cm2)'!$A$2:$A$52,1))+($C51-INDEX('hp (pSv cm2)'!$A$2:$A$52,MATCH($C51,'hp (pSv cm2)'!$A$2:$A$52,1)))*(INDEX('hp (pSv cm2)'!$B$2:$B$52,MATCH($C51,'hp (pSv cm2)'!$A$2:$A$52,1)+1)-INDEX('hp (pSv cm2)'!$B$2:$B$52,MATCH($C51,'hp (pSv cm2)'!$A$2:$A$52,1)))/(INDEX('hp (pSv cm2)'!$A$2:$A$52,MATCH($C51,'hp (pSv cm2)'!$A$2:$A$52,1)+1)-INDEX('hp (pSv cm2)'!$A$2:$A$52,MATCH($C51,'hp (pSv cm2)'!$A$2:$A$52,1))),$C51*'hp (pSv cm2)'!$B$2/'hp (pSv cm2)'!$A$2)</f>
        <v>0.86263653419999997</v>
      </c>
      <c r="G51" s="67">
        <f t="shared" si="3"/>
        <v>6.3490048917119995E-4</v>
      </c>
      <c r="H51" s="83">
        <f>_xlfn.IFNA(0.997*(INDEX('Mass attenuation coefficients'!$B$2:$B$37,MATCH($C51,'Mass attenuation coefficients'!$A$2:$A$37,1))+($C51-INDEX('Mass attenuation coefficients'!$A$2:$A$37,MATCH($C51,'Mass attenuation coefficients'!$A$2:$A$37,1)))*(INDEX('Mass attenuation coefficients'!$B$2:$B$37,MATCH($C51,'Mass attenuation coefficients'!$A$2:$A$37,1)+1)-INDEX('Mass attenuation coefficients'!$B$2:$B$37,MATCH($C51,'Mass attenuation coefficients'!$A$2:$A$37,1)))/(INDEX('Mass attenuation coefficients'!$A$2:$A$37,MATCH($C51,'Mass attenuation coefficients'!$A$2:$A$37,1)+1)-INDEX('Mass attenuation coefficients'!$A$2:$A$37,MATCH($C51,'Mass attenuation coefficients'!$A$2:$A$37,1)))),0.997*$C51*'Mass attenuation coefficients'!$B$2/'Mass attenuation coefficients'!$A$2)</f>
        <v>0.14389668208670001</v>
      </c>
      <c r="I51" s="83">
        <f>_xlfn.IFNA(INDEX('Shultis Faw'!$C$2:$C$26,MATCH($C51,'Shultis Faw'!$A$2:$A$26,1))+($C51-INDEX('Shultis Faw'!$A$2:$A$26,MATCH($C51,'Shultis Faw'!$A$2:$A$26,1)))*(INDEX('Shultis Faw'!$C$2:$C$26,MATCH($C51,'Shultis Faw'!$A$2:$A$26,1)+1)-INDEX('Shultis Faw'!$C$2:$C$26,MATCH($C51,'Shultis Faw'!$A$2:$A$26,1)))/(INDEX('Shultis Faw'!$A$2:$A$26,MATCH($C51,'Shultis Faw'!$A$2:$A$26,1)+1)-INDEX('Shultis Faw'!$A$2:$A$26,MATCH($C51,'Shultis Faw'!$A$2:$A$26,1))),$C51*'Shultis Faw'!$C$2/'Shultis Faw'!$A$2)</f>
        <v>3.7054912733999998</v>
      </c>
      <c r="J51" s="83">
        <f>_xlfn.IFNA(INDEX('Shultis Faw'!$D$2:$D$26,MATCH($C51,'Shultis Faw'!$A$2:$A$26,1))+($C51-INDEX('Shultis Faw'!$A$2:$A$26,MATCH($C51,'Shultis Faw'!$A$2:$A$26,1)))*(INDEX('Shultis Faw'!$D$2:$D$26,MATCH($C51,'Shultis Faw'!$A$2:$A$26,1)+1)-INDEX('Shultis Faw'!$D$2:$D$26,MATCH($C51,'Shultis Faw'!$A$2:$A$26,1)))/(INDEX('Shultis Faw'!$A$2:$A$26,MATCH($C51,'Shultis Faw'!$A$2:$A$26,1)+1)-INDEX('Shultis Faw'!$A$2:$A$26,MATCH($C51,'Shultis Faw'!$A$2:$A$26,1))),$C51*'Shultis Faw'!$D$2/'Shultis Faw'!$A$2)</f>
        <v>2.2017785968000001</v>
      </c>
      <c r="K51" s="83">
        <f>_xlfn.IFNA(INDEX('Shultis Faw'!$B$2:$B$26,MATCH($C51,'Shultis Faw'!$A$2:$A$26,1))+($C51-INDEX('Shultis Faw'!$A$2:$A$26,MATCH($C51,'Shultis Faw'!$A$2:$A$26,1)))*(INDEX('Shultis Faw'!$B$2:$B$26,MATCH($C51,'Shultis Faw'!$A$2:$A$26,1)+1)-INDEX('Shultis Faw'!$B$2:$B$26,MATCH($C51,'Shultis Faw'!$A$2:$A$26,1)))/(INDEX('Shultis Faw'!$A$2:$A$26,MATCH($C51,'Shultis Faw'!$A$2:$A$26,1)+1)-INDEX('Shultis Faw'!$A$2:$A$26,MATCH($C51,'Shultis Faw'!$A$2:$A$26,1))),$C51*'Shultis Faw'!$B$2/'Shultis Faw'!$A$2)</f>
        <v>-0.18088644739999998</v>
      </c>
      <c r="L51" s="83">
        <f>_xlfn.IFNA(INDEX('Shultis Faw'!$E$2:$E$26,MATCH($C51,'Shultis Faw'!$A$2:$A$26,1))+($C51-INDEX('Shultis Faw'!$A$2:$A$26,MATCH($C51,'Shultis Faw'!$A$2:$A$26,1)))*(INDEX('Shultis Faw'!$E$2:$E$26,MATCH($C51,'Shultis Faw'!$A$2:$A$26,1)+1)-INDEX('Shultis Faw'!$E$2:$E$26,MATCH($C51,'Shultis Faw'!$A$2:$A$26,1)))/(INDEX('Shultis Faw'!$A$2:$A$26,MATCH($C51,'Shultis Faw'!$A$2:$A$26,1)+1)-INDEX('Shultis Faw'!$A$2:$A$26,MATCH($C51,'Shultis Faw'!$A$2:$A$26,1))),$C51*'Shultis Faw'!$E$2/'Shultis Faw'!$A$2)</f>
        <v>7.7562881580000007E-2</v>
      </c>
      <c r="M51" s="83">
        <f>_xlfn.IFNA(INDEX('Shultis Faw'!$F$2:$F$26,MATCH($C51,'Shultis Faw'!$A$2:$A$26,1))+($C51-INDEX('Shultis Faw'!$A$2:$A$26,MATCH($C51,'Shultis Faw'!$A$2:$A$26,1)))*(INDEX('Shultis Faw'!$F$2:$F$26,MATCH($C51,'Shultis Faw'!$A$2:$A$26,1)+1)-INDEX('Shultis Faw'!$F$2:$F$26,MATCH($C51,'Shultis Faw'!$A$2:$A$26,1)))/(INDEX('Shultis Faw'!$A$2:$A$26,MATCH($C51,'Shultis Faw'!$A$2:$A$26,1)+1)-INDEX('Shultis Faw'!$A$2:$A$26,MATCH($C51,'Shultis Faw'!$A$2:$A$26,1))),$C51*'Shultis Faw'!$F$2/'Shultis Faw'!$A$2)</f>
        <v>14.331689034</v>
      </c>
      <c r="N51" s="83">
        <f>J51*(H51*'Externe blootstelling'!$D$23/2)^K51+L51*(TANH(((H51*'Externe blootstelling'!$D$23)/(2*M51))-2)-TANH(-2))/(1-TANH(-2))</f>
        <v>1.9162066017313253</v>
      </c>
      <c r="O51" s="83">
        <f>IF(N51=1,1+(I51-1)*H51*'Externe blootstelling'!$D$23/2,1+(I51-1)*(N51^(H51*'Externe blootstelling'!$D$23/2)-1)/(N51-1))</f>
        <v>10.066684629710242</v>
      </c>
      <c r="P51" s="67">
        <f>G51*EXP(-H51*'Externe blootstelling'!$D$23/2)*O51</f>
        <v>7.382255974319493E-4</v>
      </c>
      <c r="Q51" s="68"/>
    </row>
    <row r="52" spans="1:17" x14ac:dyDescent="0.2">
      <c r="A52" s="217"/>
      <c r="B52" s="64" t="s">
        <v>104</v>
      </c>
      <c r="C52" s="65">
        <v>0.41205000000000003</v>
      </c>
      <c r="D52" s="66">
        <f t="shared" si="2"/>
        <v>6.5927999999999997E-14</v>
      </c>
      <c r="E52" s="66">
        <v>1.91E-5</v>
      </c>
      <c r="F52" s="66">
        <f>_xlfn.IFNA(INDEX('hp (pSv cm2)'!$B$2:$B$52,MATCH($C52,'hp (pSv cm2)'!$A$2:$A$52,1))+($C52-INDEX('hp (pSv cm2)'!$A$2:$A$52,MATCH($C52,'hp (pSv cm2)'!$A$2:$A$52,1)))*(INDEX('hp (pSv cm2)'!$B$2:$B$52,MATCH($C52,'hp (pSv cm2)'!$A$2:$A$52,1)+1)-INDEX('hp (pSv cm2)'!$B$2:$B$52,MATCH($C52,'hp (pSv cm2)'!$A$2:$A$52,1)))/(INDEX('hp (pSv cm2)'!$A$2:$A$52,MATCH($C52,'hp (pSv cm2)'!$A$2:$A$52,1)+1)-INDEX('hp (pSv cm2)'!$A$2:$A$52,MATCH($C52,'hp (pSv cm2)'!$A$2:$A$52,1))),$C52*'hp (pSv cm2)'!$B$2/'hp (pSv cm2)'!$A$2)</f>
        <v>2.056635</v>
      </c>
      <c r="G52" s="67">
        <f t="shared" si="3"/>
        <v>3.9281728500000002E-5</v>
      </c>
      <c r="H52" s="83">
        <f>_xlfn.IFNA(0.997*(INDEX('Mass attenuation coefficients'!$B$2:$B$37,MATCH($C52,'Mass attenuation coefficients'!$A$2:$A$37,1))+($C52-INDEX('Mass attenuation coefficients'!$A$2:$A$37,MATCH($C52,'Mass attenuation coefficients'!$A$2:$A$37,1)))*(INDEX('Mass attenuation coefficients'!$B$2:$B$37,MATCH($C52,'Mass attenuation coefficients'!$A$2:$A$37,1)+1)-INDEX('Mass attenuation coefficients'!$B$2:$B$37,MATCH($C52,'Mass attenuation coefficients'!$A$2:$A$37,1)))/(INDEX('Mass attenuation coefficients'!$A$2:$A$37,MATCH($C52,'Mass attenuation coefficients'!$A$2:$A$37,1)+1)-INDEX('Mass attenuation coefficients'!$A$2:$A$37,MATCH($C52,'Mass attenuation coefficients'!$A$2:$A$37,1)))),0.997*$C52*'Mass attenuation coefficients'!$B$2/'Mass attenuation coefficients'!$A$2)</f>
        <v>0.104672821645</v>
      </c>
      <c r="I52" s="83">
        <f>_xlfn.IFNA(INDEX('Shultis Faw'!$C$2:$C$26,MATCH($C52,'Shultis Faw'!$A$2:$A$26,1))+($C52-INDEX('Shultis Faw'!$A$2:$A$26,MATCH($C52,'Shultis Faw'!$A$2:$A$26,1)))*(INDEX('Shultis Faw'!$C$2:$C$26,MATCH($C52,'Shultis Faw'!$A$2:$A$26,1)+1)-INDEX('Shultis Faw'!$C$2:$C$26,MATCH($C52,'Shultis Faw'!$A$2:$A$26,1)))/(INDEX('Shultis Faw'!$A$2:$A$26,MATCH($C52,'Shultis Faw'!$A$2:$A$26,1)+1)-INDEX('Shultis Faw'!$A$2:$A$26,MATCH($C52,'Shultis Faw'!$A$2:$A$26,1))),$C52*'Shultis Faw'!$C$2/'Shultis Faw'!$A$2)</f>
        <v>2.64072</v>
      </c>
      <c r="J52" s="83">
        <f>_xlfn.IFNA(INDEX('Shultis Faw'!$D$2:$D$26,MATCH($C52,'Shultis Faw'!$A$2:$A$26,1))+($C52-INDEX('Shultis Faw'!$A$2:$A$26,MATCH($C52,'Shultis Faw'!$A$2:$A$26,1)))*(INDEX('Shultis Faw'!$D$2:$D$26,MATCH($C52,'Shultis Faw'!$A$2:$A$26,1)+1)-INDEX('Shultis Faw'!$D$2:$D$26,MATCH($C52,'Shultis Faw'!$A$2:$A$26,1)))/(INDEX('Shultis Faw'!$A$2:$A$26,MATCH($C52,'Shultis Faw'!$A$2:$A$26,1)+1)-INDEX('Shultis Faw'!$A$2:$A$26,MATCH($C52,'Shultis Faw'!$A$2:$A$26,1))),$C52*'Shultis Faw'!$D$2/'Shultis Faw'!$A$2)</f>
        <v>1.8680219999999998</v>
      </c>
      <c r="K52" s="83">
        <f>_xlfn.IFNA(INDEX('Shultis Faw'!$B$2:$B$26,MATCH($C52,'Shultis Faw'!$A$2:$A$26,1))+($C52-INDEX('Shultis Faw'!$A$2:$A$26,MATCH($C52,'Shultis Faw'!$A$2:$A$26,1)))*(INDEX('Shultis Faw'!$B$2:$B$26,MATCH($C52,'Shultis Faw'!$A$2:$A$26,1)+1)-INDEX('Shultis Faw'!$B$2:$B$26,MATCH($C52,'Shultis Faw'!$A$2:$A$26,1)))/(INDEX('Shultis Faw'!$A$2:$A$26,MATCH($C52,'Shultis Faw'!$A$2:$A$26,1)+1)-INDEX('Shultis Faw'!$A$2:$A$26,MATCH($C52,'Shultis Faw'!$A$2:$A$26,1))),$C52*'Shultis Faw'!$B$2/'Shultis Faw'!$A$2)</f>
        <v>-0.147313</v>
      </c>
      <c r="L52" s="83">
        <f>_xlfn.IFNA(INDEX('Shultis Faw'!$E$2:$E$26,MATCH($C52,'Shultis Faw'!$A$2:$A$26,1))+($C52-INDEX('Shultis Faw'!$A$2:$A$26,MATCH($C52,'Shultis Faw'!$A$2:$A$26,1)))*(INDEX('Shultis Faw'!$E$2:$E$26,MATCH($C52,'Shultis Faw'!$A$2:$A$26,1)+1)-INDEX('Shultis Faw'!$E$2:$E$26,MATCH($C52,'Shultis Faw'!$A$2:$A$26,1)))/(INDEX('Shultis Faw'!$A$2:$A$26,MATCH($C52,'Shultis Faw'!$A$2:$A$26,1)+1)-INDEX('Shultis Faw'!$A$2:$A$26,MATCH($C52,'Shultis Faw'!$A$2:$A$26,1))),$C52*'Shultis Faw'!$E$2/'Shultis Faw'!$A$2)</f>
        <v>5.8909549999999998E-2</v>
      </c>
      <c r="M52" s="83">
        <f>_xlfn.IFNA(INDEX('Shultis Faw'!$F$2:$F$26,MATCH($C52,'Shultis Faw'!$A$2:$A$26,1))+($C52-INDEX('Shultis Faw'!$A$2:$A$26,MATCH($C52,'Shultis Faw'!$A$2:$A$26,1)))*(INDEX('Shultis Faw'!$F$2:$F$26,MATCH($C52,'Shultis Faw'!$A$2:$A$26,1)+1)-INDEX('Shultis Faw'!$F$2:$F$26,MATCH($C52,'Shultis Faw'!$A$2:$A$26,1)))/(INDEX('Shultis Faw'!$A$2:$A$26,MATCH($C52,'Shultis Faw'!$A$2:$A$26,1)+1)-INDEX('Shultis Faw'!$A$2:$A$26,MATCH($C52,'Shultis Faw'!$A$2:$A$26,1))),$C52*'Shultis Faw'!$F$2/'Shultis Faw'!$A$2)</f>
        <v>14.250845</v>
      </c>
      <c r="N52" s="83">
        <f>J52*(H52*'Externe blootstelling'!$D$23/2)^K52+L52*(TANH(((H52*'Externe blootstelling'!$D$23)/(2*M52))-2)-TANH(-2))/(1-TANH(-2))</f>
        <v>1.7481724260220111</v>
      </c>
      <c r="O52" s="83">
        <f>IF(N52=1,1+(I52-1)*H52*'Externe blootstelling'!$D$23/2,1+(I52-1)*(N52^(H52*'Externe blootstelling'!$D$23/2)-1)/(N52-1))</f>
        <v>4.0782656660084076</v>
      </c>
      <c r="P52" s="67">
        <f>G52*EXP(-H52*'Externe blootstelling'!$D$23/2)*O52</f>
        <v>3.3326036841634268E-5</v>
      </c>
      <c r="Q52" s="68"/>
    </row>
    <row r="53" spans="1:17" x14ac:dyDescent="0.2">
      <c r="A53" s="217"/>
      <c r="B53" s="64" t="s">
        <v>104</v>
      </c>
      <c r="C53" s="65">
        <v>0.4244</v>
      </c>
      <c r="D53" s="66">
        <f t="shared" si="2"/>
        <v>6.7903999999999993E-14</v>
      </c>
      <c r="E53" s="66">
        <v>1.95E-5</v>
      </c>
      <c r="F53" s="66">
        <f>_xlfn.IFNA(INDEX('hp (pSv cm2)'!$B$2:$B$52,MATCH($C53,'hp (pSv cm2)'!$A$2:$A$52,1))+($C53-INDEX('hp (pSv cm2)'!$A$2:$A$52,MATCH($C53,'hp (pSv cm2)'!$A$2:$A$52,1)))*(INDEX('hp (pSv cm2)'!$B$2:$B$52,MATCH($C53,'hp (pSv cm2)'!$A$2:$A$52,1)+1)-INDEX('hp (pSv cm2)'!$B$2:$B$52,MATCH($C53,'hp (pSv cm2)'!$A$2:$A$52,1)))/(INDEX('hp (pSv cm2)'!$A$2:$A$52,MATCH($C53,'hp (pSv cm2)'!$A$2:$A$52,1)+1)-INDEX('hp (pSv cm2)'!$A$2:$A$52,MATCH($C53,'hp (pSv cm2)'!$A$2:$A$52,1))),$C53*'hp (pSv cm2)'!$B$2/'hp (pSv cm2)'!$A$2)</f>
        <v>2.1146799999999999</v>
      </c>
      <c r="G53" s="67">
        <f t="shared" si="3"/>
        <v>4.1236259999999994E-5</v>
      </c>
      <c r="H53" s="83">
        <f>_xlfn.IFNA(0.997*(INDEX('Mass attenuation coefficients'!$B$2:$B$37,MATCH($C53,'Mass attenuation coefficients'!$A$2:$A$37,1))+($C53-INDEX('Mass attenuation coefficients'!$A$2:$A$37,MATCH($C53,'Mass attenuation coefficients'!$A$2:$A$37,1)))*(INDEX('Mass attenuation coefficients'!$B$2:$B$37,MATCH($C53,'Mass attenuation coefficients'!$A$2:$A$37,1)+1)-INDEX('Mass attenuation coefficients'!$B$2:$B$37,MATCH($C53,'Mass attenuation coefficients'!$A$2:$A$37,1)))/(INDEX('Mass attenuation coefficients'!$A$2:$A$37,MATCH($C53,'Mass attenuation coefficients'!$A$2:$A$37,1)+1)-INDEX('Mass attenuation coefficients'!$A$2:$A$37,MATCH($C53,'Mass attenuation coefficients'!$A$2:$A$37,1)))),0.997*$C53*'Mass attenuation coefficients'!$B$2/'Mass attenuation coefficients'!$A$2)</f>
        <v>0.10353633636000001</v>
      </c>
      <c r="I53" s="83">
        <f>_xlfn.IFNA(INDEX('Shultis Faw'!$C$2:$C$26,MATCH($C53,'Shultis Faw'!$A$2:$A$26,1))+($C53-INDEX('Shultis Faw'!$A$2:$A$26,MATCH($C53,'Shultis Faw'!$A$2:$A$26,1)))*(INDEX('Shultis Faw'!$C$2:$C$26,MATCH($C53,'Shultis Faw'!$A$2:$A$26,1)+1)-INDEX('Shultis Faw'!$C$2:$C$26,MATCH($C53,'Shultis Faw'!$A$2:$A$26,1)))/(INDEX('Shultis Faw'!$A$2:$A$26,MATCH($C53,'Shultis Faw'!$A$2:$A$26,1)+1)-INDEX('Shultis Faw'!$A$2:$A$26,MATCH($C53,'Shultis Faw'!$A$2:$A$26,1))),$C53*'Shultis Faw'!$C$2/'Shultis Faw'!$A$2)</f>
        <v>2.6209600000000002</v>
      </c>
      <c r="J53" s="83">
        <f>_xlfn.IFNA(INDEX('Shultis Faw'!$D$2:$D$26,MATCH($C53,'Shultis Faw'!$A$2:$A$26,1))+($C53-INDEX('Shultis Faw'!$A$2:$A$26,MATCH($C53,'Shultis Faw'!$A$2:$A$26,1)))*(INDEX('Shultis Faw'!$D$2:$D$26,MATCH($C53,'Shultis Faw'!$A$2:$A$26,1)+1)-INDEX('Shultis Faw'!$D$2:$D$26,MATCH($C53,'Shultis Faw'!$A$2:$A$26,1)))/(INDEX('Shultis Faw'!$A$2:$A$26,MATCH($C53,'Shultis Faw'!$A$2:$A$26,1)+1)-INDEX('Shultis Faw'!$A$2:$A$26,MATCH($C53,'Shultis Faw'!$A$2:$A$26,1))),$C53*'Shultis Faw'!$D$2/'Shultis Faw'!$A$2)</f>
        <v>1.853696</v>
      </c>
      <c r="K53" s="83">
        <f>_xlfn.IFNA(INDEX('Shultis Faw'!$B$2:$B$26,MATCH($C53,'Shultis Faw'!$A$2:$A$26,1))+($C53-INDEX('Shultis Faw'!$A$2:$A$26,MATCH($C53,'Shultis Faw'!$A$2:$A$26,1)))*(INDEX('Shultis Faw'!$B$2:$B$26,MATCH($C53,'Shultis Faw'!$A$2:$A$26,1)+1)-INDEX('Shultis Faw'!$B$2:$B$26,MATCH($C53,'Shultis Faw'!$A$2:$A$26,1)))/(INDEX('Shultis Faw'!$A$2:$A$26,MATCH($C53,'Shultis Faw'!$A$2:$A$26,1)+1)-INDEX('Shultis Faw'!$A$2:$A$26,MATCH($C53,'Shultis Faw'!$A$2:$A$26,1))),$C53*'Shultis Faw'!$B$2/'Shultis Faw'!$A$2)</f>
        <v>-0.14558399999999999</v>
      </c>
      <c r="L53" s="83">
        <f>_xlfn.IFNA(INDEX('Shultis Faw'!$E$2:$E$26,MATCH($C53,'Shultis Faw'!$A$2:$A$26,1))+($C53-INDEX('Shultis Faw'!$A$2:$A$26,MATCH($C53,'Shultis Faw'!$A$2:$A$26,1)))*(INDEX('Shultis Faw'!$E$2:$E$26,MATCH($C53,'Shultis Faw'!$A$2:$A$26,1)+1)-INDEX('Shultis Faw'!$E$2:$E$26,MATCH($C53,'Shultis Faw'!$A$2:$A$26,1)))/(INDEX('Shultis Faw'!$A$2:$A$26,MATCH($C53,'Shultis Faw'!$A$2:$A$26,1)+1)-INDEX('Shultis Faw'!$A$2:$A$26,MATCH($C53,'Shultis Faw'!$A$2:$A$26,1))),$C53*'Shultis Faw'!$E$2/'Shultis Faw'!$A$2)</f>
        <v>5.8304399999999999E-2</v>
      </c>
      <c r="M53" s="83">
        <f>_xlfn.IFNA(INDEX('Shultis Faw'!$F$2:$F$26,MATCH($C53,'Shultis Faw'!$A$2:$A$26,1))+($C53-INDEX('Shultis Faw'!$A$2:$A$26,MATCH($C53,'Shultis Faw'!$A$2:$A$26,1)))*(INDEX('Shultis Faw'!$F$2:$F$26,MATCH($C53,'Shultis Faw'!$A$2:$A$26,1)+1)-INDEX('Shultis Faw'!$F$2:$F$26,MATCH($C53,'Shultis Faw'!$A$2:$A$26,1)))/(INDEX('Shultis Faw'!$A$2:$A$26,MATCH($C53,'Shultis Faw'!$A$2:$A$26,1)+1)-INDEX('Shultis Faw'!$A$2:$A$26,MATCH($C53,'Shultis Faw'!$A$2:$A$26,1))),$C53*'Shultis Faw'!$F$2/'Shultis Faw'!$A$2)</f>
        <v>14.26196</v>
      </c>
      <c r="N53" s="83">
        <f>J53*(H53*'Externe blootstelling'!$D$23/2)^K53+L53*(TANH(((H53*'Externe blootstelling'!$D$23)/(2*M53))-2)-TANH(-2))/(1-TANH(-2))</f>
        <v>1.738876067776103</v>
      </c>
      <c r="O53" s="83">
        <f>IF(N53=1,1+(I53-1)*H53*'Externe blootstelling'!$D$23/2,1+(I53-1)*(N53^(H53*'Externe blootstelling'!$D$23/2)-1)/(N53-1))</f>
        <v>3.9864074412862793</v>
      </c>
      <c r="P53" s="67">
        <f>G53*EXP(-H53*'Externe blootstelling'!$D$23/2)*O53</f>
        <v>3.478420330254356E-5</v>
      </c>
      <c r="Q53" s="68"/>
    </row>
    <row r="54" spans="1:17" x14ac:dyDescent="0.2">
      <c r="A54" s="217"/>
      <c r="B54" s="64" t="s">
        <v>104</v>
      </c>
      <c r="C54" s="65">
        <v>0.43689999999999996</v>
      </c>
      <c r="D54" s="66">
        <f t="shared" si="2"/>
        <v>6.9903999999999984E-14</v>
      </c>
      <c r="E54" s="66">
        <v>1.5800000000000001E-5</v>
      </c>
      <c r="F54" s="66">
        <f>_xlfn.IFNA(INDEX('hp (pSv cm2)'!$B$2:$B$52,MATCH($C54,'hp (pSv cm2)'!$A$2:$A$52,1))+($C54-INDEX('hp (pSv cm2)'!$A$2:$A$52,MATCH($C54,'hp (pSv cm2)'!$A$2:$A$52,1)))*(INDEX('hp (pSv cm2)'!$B$2:$B$52,MATCH($C54,'hp (pSv cm2)'!$A$2:$A$52,1)+1)-INDEX('hp (pSv cm2)'!$B$2:$B$52,MATCH($C54,'hp (pSv cm2)'!$A$2:$A$52,1)))/(INDEX('hp (pSv cm2)'!$A$2:$A$52,MATCH($C54,'hp (pSv cm2)'!$A$2:$A$52,1)+1)-INDEX('hp (pSv cm2)'!$A$2:$A$52,MATCH($C54,'hp (pSv cm2)'!$A$2:$A$52,1))),$C54*'hp (pSv cm2)'!$B$2/'hp (pSv cm2)'!$A$2)</f>
        <v>2.1734299999999998</v>
      </c>
      <c r="G54" s="67">
        <f t="shared" si="3"/>
        <v>3.4340193999999997E-5</v>
      </c>
      <c r="H54" s="83">
        <f>_xlfn.IFNA(0.997*(INDEX('Mass attenuation coefficients'!$B$2:$B$37,MATCH($C54,'Mass attenuation coefficients'!$A$2:$A$37,1))+($C54-INDEX('Mass attenuation coefficients'!$A$2:$A$37,MATCH($C54,'Mass attenuation coefficients'!$A$2:$A$37,1)))*(INDEX('Mass attenuation coefficients'!$B$2:$B$37,MATCH($C54,'Mass attenuation coefficients'!$A$2:$A$37,1)+1)-INDEX('Mass attenuation coefficients'!$B$2:$B$37,MATCH($C54,'Mass attenuation coefficients'!$A$2:$A$37,1)))/(INDEX('Mass attenuation coefficients'!$A$2:$A$37,MATCH($C54,'Mass attenuation coefficients'!$A$2:$A$37,1)+1)-INDEX('Mass attenuation coefficients'!$A$2:$A$37,MATCH($C54,'Mass attenuation coefficients'!$A$2:$A$37,1)))),0.997*$C54*'Mass attenuation coefficients'!$B$2/'Mass attenuation coefficients'!$A$2)</f>
        <v>0.10238604761</v>
      </c>
      <c r="I54" s="83">
        <f>_xlfn.IFNA(INDEX('Shultis Faw'!$C$2:$C$26,MATCH($C54,'Shultis Faw'!$A$2:$A$26,1))+($C54-INDEX('Shultis Faw'!$A$2:$A$26,MATCH($C54,'Shultis Faw'!$A$2:$A$26,1)))*(INDEX('Shultis Faw'!$C$2:$C$26,MATCH($C54,'Shultis Faw'!$A$2:$A$26,1)+1)-INDEX('Shultis Faw'!$C$2:$C$26,MATCH($C54,'Shultis Faw'!$A$2:$A$26,1)))/(INDEX('Shultis Faw'!$A$2:$A$26,MATCH($C54,'Shultis Faw'!$A$2:$A$26,1)+1)-INDEX('Shultis Faw'!$A$2:$A$26,MATCH($C54,'Shultis Faw'!$A$2:$A$26,1))),$C54*'Shultis Faw'!$C$2/'Shultis Faw'!$A$2)</f>
        <v>2.6009600000000002</v>
      </c>
      <c r="J54" s="83">
        <f>_xlfn.IFNA(INDEX('Shultis Faw'!$D$2:$D$26,MATCH($C54,'Shultis Faw'!$A$2:$A$26,1))+($C54-INDEX('Shultis Faw'!$A$2:$A$26,MATCH($C54,'Shultis Faw'!$A$2:$A$26,1)))*(INDEX('Shultis Faw'!$D$2:$D$26,MATCH($C54,'Shultis Faw'!$A$2:$A$26,1)+1)-INDEX('Shultis Faw'!$D$2:$D$26,MATCH($C54,'Shultis Faw'!$A$2:$A$26,1)))/(INDEX('Shultis Faw'!$A$2:$A$26,MATCH($C54,'Shultis Faw'!$A$2:$A$26,1)+1)-INDEX('Shultis Faw'!$A$2:$A$26,MATCH($C54,'Shultis Faw'!$A$2:$A$26,1))),$C54*'Shultis Faw'!$D$2/'Shultis Faw'!$A$2)</f>
        <v>1.8391960000000001</v>
      </c>
      <c r="K54" s="83">
        <f>_xlfn.IFNA(INDEX('Shultis Faw'!$B$2:$B$26,MATCH($C54,'Shultis Faw'!$A$2:$A$26,1))+($C54-INDEX('Shultis Faw'!$A$2:$A$26,MATCH($C54,'Shultis Faw'!$A$2:$A$26,1)))*(INDEX('Shultis Faw'!$B$2:$B$26,MATCH($C54,'Shultis Faw'!$A$2:$A$26,1)+1)-INDEX('Shultis Faw'!$B$2:$B$26,MATCH($C54,'Shultis Faw'!$A$2:$A$26,1)))/(INDEX('Shultis Faw'!$A$2:$A$26,MATCH($C54,'Shultis Faw'!$A$2:$A$26,1)+1)-INDEX('Shultis Faw'!$A$2:$A$26,MATCH($C54,'Shultis Faw'!$A$2:$A$26,1))),$C54*'Shultis Faw'!$B$2/'Shultis Faw'!$A$2)</f>
        <v>-0.14383400000000002</v>
      </c>
      <c r="L54" s="83">
        <f>_xlfn.IFNA(INDEX('Shultis Faw'!$E$2:$E$26,MATCH($C54,'Shultis Faw'!$A$2:$A$26,1))+($C54-INDEX('Shultis Faw'!$A$2:$A$26,MATCH($C54,'Shultis Faw'!$A$2:$A$26,1)))*(INDEX('Shultis Faw'!$E$2:$E$26,MATCH($C54,'Shultis Faw'!$A$2:$A$26,1)+1)-INDEX('Shultis Faw'!$E$2:$E$26,MATCH($C54,'Shultis Faw'!$A$2:$A$26,1)))/(INDEX('Shultis Faw'!$A$2:$A$26,MATCH($C54,'Shultis Faw'!$A$2:$A$26,1)+1)-INDEX('Shultis Faw'!$A$2:$A$26,MATCH($C54,'Shultis Faw'!$A$2:$A$26,1))),$C54*'Shultis Faw'!$E$2/'Shultis Faw'!$A$2)</f>
        <v>5.7691900000000004E-2</v>
      </c>
      <c r="M54" s="83">
        <f>_xlfn.IFNA(INDEX('Shultis Faw'!$F$2:$F$26,MATCH($C54,'Shultis Faw'!$A$2:$A$26,1))+($C54-INDEX('Shultis Faw'!$A$2:$A$26,MATCH($C54,'Shultis Faw'!$A$2:$A$26,1)))*(INDEX('Shultis Faw'!$F$2:$F$26,MATCH($C54,'Shultis Faw'!$A$2:$A$26,1)+1)-INDEX('Shultis Faw'!$F$2:$F$26,MATCH($C54,'Shultis Faw'!$A$2:$A$26,1)))/(INDEX('Shultis Faw'!$A$2:$A$26,MATCH($C54,'Shultis Faw'!$A$2:$A$26,1)+1)-INDEX('Shultis Faw'!$A$2:$A$26,MATCH($C54,'Shultis Faw'!$A$2:$A$26,1))),$C54*'Shultis Faw'!$F$2/'Shultis Faw'!$A$2)</f>
        <v>14.273210000000001</v>
      </c>
      <c r="N54" s="83">
        <f>J54*(H54*'Externe blootstelling'!$D$23/2)^K54+L54*(TANH(((H54*'Externe blootstelling'!$D$23)/(2*M54))-2)-TANH(-2))/(1-TANH(-2))</f>
        <v>1.7293760318573694</v>
      </c>
      <c r="O54" s="83">
        <f>IF(N54=1,1+(I54-1)*H54*'Externe blootstelling'!$D$23/2,1+(I54-1)*(N54^(H54*'Externe blootstelling'!$D$23/2)-1)/(N54-1))</f>
        <v>3.8957264928224382</v>
      </c>
      <c r="P54" s="67">
        <f>G54*EXP(-H54*'Externe blootstelling'!$D$23/2)*O54</f>
        <v>2.8800880856237972E-5</v>
      </c>
      <c r="Q54" s="68"/>
    </row>
    <row r="55" spans="1:17" x14ac:dyDescent="0.2">
      <c r="A55" s="217"/>
      <c r="B55" s="64" t="s">
        <v>104</v>
      </c>
      <c r="C55" s="65">
        <v>0.44319999999999998</v>
      </c>
      <c r="D55" s="66">
        <f t="shared" si="2"/>
        <v>7.0911999999999991E-14</v>
      </c>
      <c r="E55" s="66">
        <v>4.0999999999999997E-6</v>
      </c>
      <c r="F55" s="66">
        <f>_xlfn.IFNA(INDEX('hp (pSv cm2)'!$B$2:$B$52,MATCH($C55,'hp (pSv cm2)'!$A$2:$A$52,1))+($C55-INDEX('hp (pSv cm2)'!$A$2:$A$52,MATCH($C55,'hp (pSv cm2)'!$A$2:$A$52,1)))*(INDEX('hp (pSv cm2)'!$B$2:$B$52,MATCH($C55,'hp (pSv cm2)'!$A$2:$A$52,1)+1)-INDEX('hp (pSv cm2)'!$B$2:$B$52,MATCH($C55,'hp (pSv cm2)'!$A$2:$A$52,1)))/(INDEX('hp (pSv cm2)'!$A$2:$A$52,MATCH($C55,'hp (pSv cm2)'!$A$2:$A$52,1)+1)-INDEX('hp (pSv cm2)'!$A$2:$A$52,MATCH($C55,'hp (pSv cm2)'!$A$2:$A$52,1))),$C55*'hp (pSv cm2)'!$B$2/'hp (pSv cm2)'!$A$2)</f>
        <v>2.2030400000000001</v>
      </c>
      <c r="G55" s="67">
        <f t="shared" si="3"/>
        <v>9.0324640000000002E-6</v>
      </c>
      <c r="H55" s="83">
        <f>_xlfn.IFNA(0.997*(INDEX('Mass attenuation coefficients'!$B$2:$B$37,MATCH($C55,'Mass attenuation coefficients'!$A$2:$A$37,1))+($C55-INDEX('Mass attenuation coefficients'!$A$2:$A$37,MATCH($C55,'Mass attenuation coefficients'!$A$2:$A$37,1)))*(INDEX('Mass attenuation coefficients'!$B$2:$B$37,MATCH($C55,'Mass attenuation coefficients'!$A$2:$A$37,1)+1)-INDEX('Mass attenuation coefficients'!$B$2:$B$37,MATCH($C55,'Mass attenuation coefficients'!$A$2:$A$37,1)))/(INDEX('Mass attenuation coefficients'!$A$2:$A$37,MATCH($C55,'Mass attenuation coefficients'!$A$2:$A$37,1)+1)-INDEX('Mass attenuation coefficients'!$A$2:$A$37,MATCH($C55,'Mass attenuation coefficients'!$A$2:$A$37,1)))),0.997*$C55*'Mass attenuation coefficients'!$B$2/'Mass attenuation coefficients'!$A$2)</f>
        <v>0.10180630208000001</v>
      </c>
      <c r="I55" s="83">
        <f>_xlfn.IFNA(INDEX('Shultis Faw'!$C$2:$C$26,MATCH($C55,'Shultis Faw'!$A$2:$A$26,1))+($C55-INDEX('Shultis Faw'!$A$2:$A$26,MATCH($C55,'Shultis Faw'!$A$2:$A$26,1)))*(INDEX('Shultis Faw'!$C$2:$C$26,MATCH($C55,'Shultis Faw'!$A$2:$A$26,1)+1)-INDEX('Shultis Faw'!$C$2:$C$26,MATCH($C55,'Shultis Faw'!$A$2:$A$26,1)))/(INDEX('Shultis Faw'!$A$2:$A$26,MATCH($C55,'Shultis Faw'!$A$2:$A$26,1)+1)-INDEX('Shultis Faw'!$A$2:$A$26,MATCH($C55,'Shultis Faw'!$A$2:$A$26,1))),$C55*'Shultis Faw'!$C$2/'Shultis Faw'!$A$2)</f>
        <v>2.5908800000000003</v>
      </c>
      <c r="J55" s="83">
        <f>_xlfn.IFNA(INDEX('Shultis Faw'!$D$2:$D$26,MATCH($C55,'Shultis Faw'!$A$2:$A$26,1))+($C55-INDEX('Shultis Faw'!$A$2:$A$26,MATCH($C55,'Shultis Faw'!$A$2:$A$26,1)))*(INDEX('Shultis Faw'!$D$2:$D$26,MATCH($C55,'Shultis Faw'!$A$2:$A$26,1)+1)-INDEX('Shultis Faw'!$D$2:$D$26,MATCH($C55,'Shultis Faw'!$A$2:$A$26,1)))/(INDEX('Shultis Faw'!$A$2:$A$26,MATCH($C55,'Shultis Faw'!$A$2:$A$26,1)+1)-INDEX('Shultis Faw'!$A$2:$A$26,MATCH($C55,'Shultis Faw'!$A$2:$A$26,1))),$C55*'Shultis Faw'!$D$2/'Shultis Faw'!$A$2)</f>
        <v>1.831888</v>
      </c>
      <c r="K55" s="83">
        <f>_xlfn.IFNA(INDEX('Shultis Faw'!$B$2:$B$26,MATCH($C55,'Shultis Faw'!$A$2:$A$26,1))+($C55-INDEX('Shultis Faw'!$A$2:$A$26,MATCH($C55,'Shultis Faw'!$A$2:$A$26,1)))*(INDEX('Shultis Faw'!$B$2:$B$26,MATCH($C55,'Shultis Faw'!$A$2:$A$26,1)+1)-INDEX('Shultis Faw'!$B$2:$B$26,MATCH($C55,'Shultis Faw'!$A$2:$A$26,1)))/(INDEX('Shultis Faw'!$A$2:$A$26,MATCH($C55,'Shultis Faw'!$A$2:$A$26,1)+1)-INDEX('Shultis Faw'!$A$2:$A$26,MATCH($C55,'Shultis Faw'!$A$2:$A$26,1))),$C55*'Shultis Faw'!$B$2/'Shultis Faw'!$A$2)</f>
        <v>-0.142952</v>
      </c>
      <c r="L55" s="83">
        <f>_xlfn.IFNA(INDEX('Shultis Faw'!$E$2:$E$26,MATCH($C55,'Shultis Faw'!$A$2:$A$26,1))+($C55-INDEX('Shultis Faw'!$A$2:$A$26,MATCH($C55,'Shultis Faw'!$A$2:$A$26,1)))*(INDEX('Shultis Faw'!$E$2:$E$26,MATCH($C55,'Shultis Faw'!$A$2:$A$26,1)+1)-INDEX('Shultis Faw'!$E$2:$E$26,MATCH($C55,'Shultis Faw'!$A$2:$A$26,1)))/(INDEX('Shultis Faw'!$A$2:$A$26,MATCH($C55,'Shultis Faw'!$A$2:$A$26,1)+1)-INDEX('Shultis Faw'!$A$2:$A$26,MATCH($C55,'Shultis Faw'!$A$2:$A$26,1))),$C55*'Shultis Faw'!$E$2/'Shultis Faw'!$A$2)</f>
        <v>5.7383200000000002E-2</v>
      </c>
      <c r="M55" s="83">
        <f>_xlfn.IFNA(INDEX('Shultis Faw'!$F$2:$F$26,MATCH($C55,'Shultis Faw'!$A$2:$A$26,1))+($C55-INDEX('Shultis Faw'!$A$2:$A$26,MATCH($C55,'Shultis Faw'!$A$2:$A$26,1)))*(INDEX('Shultis Faw'!$F$2:$F$26,MATCH($C55,'Shultis Faw'!$A$2:$A$26,1)+1)-INDEX('Shultis Faw'!$F$2:$F$26,MATCH($C55,'Shultis Faw'!$A$2:$A$26,1)))/(INDEX('Shultis Faw'!$A$2:$A$26,MATCH($C55,'Shultis Faw'!$A$2:$A$26,1)+1)-INDEX('Shultis Faw'!$A$2:$A$26,MATCH($C55,'Shultis Faw'!$A$2:$A$26,1))),$C55*'Shultis Faw'!$F$2/'Shultis Faw'!$A$2)</f>
        <v>14.278880000000001</v>
      </c>
      <c r="N55" s="83">
        <f>J55*(H55*'Externe blootstelling'!$D$23/2)^K55+L55*(TANH(((H55*'Externe blootstelling'!$D$23)/(2*M55))-2)-TANH(-2))/(1-TANH(-2))</f>
        <v>1.7245533903703318</v>
      </c>
      <c r="O55" s="83">
        <f>IF(N55=1,1+(I55-1)*H55*'Externe blootstelling'!$D$23/2,1+(I55-1)*(N55^(H55*'Externe blootstelling'!$D$23/2)-1)/(N55-1))</f>
        <v>3.8508808667780077</v>
      </c>
      <c r="P55" s="67">
        <f>G55*EXP(-H55*'Externe blootstelling'!$D$23/2)*O55</f>
        <v>7.5536628092742797E-6</v>
      </c>
      <c r="Q55" s="68"/>
    </row>
    <row r="56" spans="1:17" x14ac:dyDescent="0.2">
      <c r="A56" s="217"/>
      <c r="B56" s="64" t="s">
        <v>104</v>
      </c>
      <c r="C56" s="65">
        <v>0.46200000000000002</v>
      </c>
      <c r="D56" s="66">
        <f t="shared" si="2"/>
        <v>7.3920000000000002E-14</v>
      </c>
      <c r="E56" s="66">
        <v>1.5800000000000001E-5</v>
      </c>
      <c r="F56" s="66">
        <f>_xlfn.IFNA(INDEX('hp (pSv cm2)'!$B$2:$B$52,MATCH($C56,'hp (pSv cm2)'!$A$2:$A$52,1))+($C56-INDEX('hp (pSv cm2)'!$A$2:$A$52,MATCH($C56,'hp (pSv cm2)'!$A$2:$A$52,1)))*(INDEX('hp (pSv cm2)'!$B$2:$B$52,MATCH($C56,'hp (pSv cm2)'!$A$2:$A$52,1)+1)-INDEX('hp (pSv cm2)'!$B$2:$B$52,MATCH($C56,'hp (pSv cm2)'!$A$2:$A$52,1)))/(INDEX('hp (pSv cm2)'!$A$2:$A$52,MATCH($C56,'hp (pSv cm2)'!$A$2:$A$52,1)+1)-INDEX('hp (pSv cm2)'!$A$2:$A$52,MATCH($C56,'hp (pSv cm2)'!$A$2:$A$52,1))),$C56*'hp (pSv cm2)'!$B$2/'hp (pSv cm2)'!$A$2)</f>
        <v>2.2914000000000003</v>
      </c>
      <c r="G56" s="67">
        <f t="shared" si="3"/>
        <v>3.6204120000000009E-5</v>
      </c>
      <c r="H56" s="83">
        <f>_xlfn.IFNA(0.997*(INDEX('Mass attenuation coefficients'!$B$2:$B$37,MATCH($C56,'Mass attenuation coefficients'!$A$2:$A$37,1))+($C56-INDEX('Mass attenuation coefficients'!$A$2:$A$37,MATCH($C56,'Mass attenuation coefficients'!$A$2:$A$37,1)))*(INDEX('Mass attenuation coefficients'!$B$2:$B$37,MATCH($C56,'Mass attenuation coefficients'!$A$2:$A$37,1)+1)-INDEX('Mass attenuation coefficients'!$B$2:$B$37,MATCH($C56,'Mass attenuation coefficients'!$A$2:$A$37,1)))/(INDEX('Mass attenuation coefficients'!$A$2:$A$37,MATCH($C56,'Mass attenuation coefficients'!$A$2:$A$37,1)+1)-INDEX('Mass attenuation coefficients'!$A$2:$A$37,MATCH($C56,'Mass attenuation coefficients'!$A$2:$A$37,1)))),0.997*$C56*'Mass attenuation coefficients'!$B$2/'Mass attenuation coefficients'!$A$2)</f>
        <v>0.10007626779999999</v>
      </c>
      <c r="I56" s="83">
        <f>_xlfn.IFNA(INDEX('Shultis Faw'!$C$2:$C$26,MATCH($C56,'Shultis Faw'!$A$2:$A$26,1))+($C56-INDEX('Shultis Faw'!$A$2:$A$26,MATCH($C56,'Shultis Faw'!$A$2:$A$26,1)))*(INDEX('Shultis Faw'!$C$2:$C$26,MATCH($C56,'Shultis Faw'!$A$2:$A$26,1)+1)-INDEX('Shultis Faw'!$C$2:$C$26,MATCH($C56,'Shultis Faw'!$A$2:$A$26,1)))/(INDEX('Shultis Faw'!$A$2:$A$26,MATCH($C56,'Shultis Faw'!$A$2:$A$26,1)+1)-INDEX('Shultis Faw'!$A$2:$A$26,MATCH($C56,'Shultis Faw'!$A$2:$A$26,1))),$C56*'Shultis Faw'!$C$2/'Shultis Faw'!$A$2)</f>
        <v>2.5608</v>
      </c>
      <c r="J56" s="83">
        <f>_xlfn.IFNA(INDEX('Shultis Faw'!$D$2:$D$26,MATCH($C56,'Shultis Faw'!$A$2:$A$26,1))+($C56-INDEX('Shultis Faw'!$A$2:$A$26,MATCH($C56,'Shultis Faw'!$A$2:$A$26,1)))*(INDEX('Shultis Faw'!$D$2:$D$26,MATCH($C56,'Shultis Faw'!$A$2:$A$26,1)+1)-INDEX('Shultis Faw'!$D$2:$D$26,MATCH($C56,'Shultis Faw'!$A$2:$A$26,1)))/(INDEX('Shultis Faw'!$A$2:$A$26,MATCH($C56,'Shultis Faw'!$A$2:$A$26,1)+1)-INDEX('Shultis Faw'!$A$2:$A$26,MATCH($C56,'Shultis Faw'!$A$2:$A$26,1))),$C56*'Shultis Faw'!$D$2/'Shultis Faw'!$A$2)</f>
        <v>1.8100799999999999</v>
      </c>
      <c r="K56" s="83">
        <f>_xlfn.IFNA(INDEX('Shultis Faw'!$B$2:$B$26,MATCH($C56,'Shultis Faw'!$A$2:$A$26,1))+($C56-INDEX('Shultis Faw'!$A$2:$A$26,MATCH($C56,'Shultis Faw'!$A$2:$A$26,1)))*(INDEX('Shultis Faw'!$B$2:$B$26,MATCH($C56,'Shultis Faw'!$A$2:$A$26,1)+1)-INDEX('Shultis Faw'!$B$2:$B$26,MATCH($C56,'Shultis Faw'!$A$2:$A$26,1)))/(INDEX('Shultis Faw'!$A$2:$A$26,MATCH($C56,'Shultis Faw'!$A$2:$A$26,1)+1)-INDEX('Shultis Faw'!$A$2:$A$26,MATCH($C56,'Shultis Faw'!$A$2:$A$26,1))),$C56*'Shultis Faw'!$B$2/'Shultis Faw'!$A$2)</f>
        <v>-0.14032</v>
      </c>
      <c r="L56" s="83">
        <f>_xlfn.IFNA(INDEX('Shultis Faw'!$E$2:$E$26,MATCH($C56,'Shultis Faw'!$A$2:$A$26,1))+($C56-INDEX('Shultis Faw'!$A$2:$A$26,MATCH($C56,'Shultis Faw'!$A$2:$A$26,1)))*(INDEX('Shultis Faw'!$E$2:$E$26,MATCH($C56,'Shultis Faw'!$A$2:$A$26,1)+1)-INDEX('Shultis Faw'!$E$2:$E$26,MATCH($C56,'Shultis Faw'!$A$2:$A$26,1)))/(INDEX('Shultis Faw'!$A$2:$A$26,MATCH($C56,'Shultis Faw'!$A$2:$A$26,1)+1)-INDEX('Shultis Faw'!$A$2:$A$26,MATCH($C56,'Shultis Faw'!$A$2:$A$26,1))),$C56*'Shultis Faw'!$E$2/'Shultis Faw'!$A$2)</f>
        <v>5.6461999999999998E-2</v>
      </c>
      <c r="M56" s="83">
        <f>_xlfn.IFNA(INDEX('Shultis Faw'!$F$2:$F$26,MATCH($C56,'Shultis Faw'!$A$2:$A$26,1))+($C56-INDEX('Shultis Faw'!$A$2:$A$26,MATCH($C56,'Shultis Faw'!$A$2:$A$26,1)))*(INDEX('Shultis Faw'!$F$2:$F$26,MATCH($C56,'Shultis Faw'!$A$2:$A$26,1)+1)-INDEX('Shultis Faw'!$F$2:$F$26,MATCH($C56,'Shultis Faw'!$A$2:$A$26,1)))/(INDEX('Shultis Faw'!$A$2:$A$26,MATCH($C56,'Shultis Faw'!$A$2:$A$26,1)+1)-INDEX('Shultis Faw'!$A$2:$A$26,MATCH($C56,'Shultis Faw'!$A$2:$A$26,1))),$C56*'Shultis Faw'!$F$2/'Shultis Faw'!$A$2)</f>
        <v>14.2958</v>
      </c>
      <c r="N56" s="83">
        <f>J56*(H56*'Externe blootstelling'!$D$23/2)^K56+L56*(TANH(((H56*'Externe blootstelling'!$D$23)/(2*M56))-2)-TANH(-2))/(1-TANH(-2))</f>
        <v>1.7100240137318854</v>
      </c>
      <c r="O56" s="83">
        <f>IF(N56=1,1+(I56-1)*H56*'Externe blootstelling'!$D$23/2,1+(I56-1)*(N56^(H56*'Externe blootstelling'!$D$23/2)-1)/(N56-1))</f>
        <v>3.7203937774339892</v>
      </c>
      <c r="P56" s="67">
        <f>G56*EXP(-H56*'Externe blootstelling'!$D$23/2)*O56</f>
        <v>3.0019837836505207E-5</v>
      </c>
      <c r="Q56" s="68"/>
    </row>
    <row r="57" spans="1:17" x14ac:dyDescent="0.2">
      <c r="A57" s="217"/>
      <c r="B57" s="64" t="s">
        <v>104</v>
      </c>
      <c r="C57" s="65">
        <v>0.46360000000000001</v>
      </c>
      <c r="D57" s="66">
        <f t="shared" si="2"/>
        <v>7.4175999999999994E-14</v>
      </c>
      <c r="E57" s="66">
        <v>1.27E-4</v>
      </c>
      <c r="F57" s="66">
        <f>_xlfn.IFNA(INDEX('hp (pSv cm2)'!$B$2:$B$52,MATCH($C57,'hp (pSv cm2)'!$A$2:$A$52,1))+($C57-INDEX('hp (pSv cm2)'!$A$2:$A$52,MATCH($C57,'hp (pSv cm2)'!$A$2:$A$52,1)))*(INDEX('hp (pSv cm2)'!$B$2:$B$52,MATCH($C57,'hp (pSv cm2)'!$A$2:$A$52,1)+1)-INDEX('hp (pSv cm2)'!$B$2:$B$52,MATCH($C57,'hp (pSv cm2)'!$A$2:$A$52,1)))/(INDEX('hp (pSv cm2)'!$A$2:$A$52,MATCH($C57,'hp (pSv cm2)'!$A$2:$A$52,1)+1)-INDEX('hp (pSv cm2)'!$A$2:$A$52,MATCH($C57,'hp (pSv cm2)'!$A$2:$A$52,1))),$C57*'hp (pSv cm2)'!$B$2/'hp (pSv cm2)'!$A$2)</f>
        <v>2.2989200000000003</v>
      </c>
      <c r="G57" s="67">
        <f t="shared" si="3"/>
        <v>2.9196284000000005E-4</v>
      </c>
      <c r="H57" s="83">
        <f>_xlfn.IFNA(0.997*(INDEX('Mass attenuation coefficients'!$B$2:$B$37,MATCH($C57,'Mass attenuation coefficients'!$A$2:$A$37,1))+($C57-INDEX('Mass attenuation coefficients'!$A$2:$A$37,MATCH($C57,'Mass attenuation coefficients'!$A$2:$A$37,1)))*(INDEX('Mass attenuation coefficients'!$B$2:$B$37,MATCH($C57,'Mass attenuation coefficients'!$A$2:$A$37,1)+1)-INDEX('Mass attenuation coefficients'!$B$2:$B$37,MATCH($C57,'Mass attenuation coefficients'!$A$2:$A$37,1)))/(INDEX('Mass attenuation coefficients'!$A$2:$A$37,MATCH($C57,'Mass attenuation coefficients'!$A$2:$A$37,1)+1)-INDEX('Mass attenuation coefficients'!$A$2:$A$37,MATCH($C57,'Mass attenuation coefficients'!$A$2:$A$37,1)))),0.997*$C57*'Mass attenuation coefficients'!$B$2/'Mass attenuation coefficients'!$A$2)</f>
        <v>9.9929030839999988E-2</v>
      </c>
      <c r="I57" s="83">
        <f>_xlfn.IFNA(INDEX('Shultis Faw'!$C$2:$C$26,MATCH($C57,'Shultis Faw'!$A$2:$A$26,1))+($C57-INDEX('Shultis Faw'!$A$2:$A$26,MATCH($C57,'Shultis Faw'!$A$2:$A$26,1)))*(INDEX('Shultis Faw'!$C$2:$C$26,MATCH($C57,'Shultis Faw'!$A$2:$A$26,1)+1)-INDEX('Shultis Faw'!$C$2:$C$26,MATCH($C57,'Shultis Faw'!$A$2:$A$26,1)))/(INDEX('Shultis Faw'!$A$2:$A$26,MATCH($C57,'Shultis Faw'!$A$2:$A$26,1)+1)-INDEX('Shultis Faw'!$A$2:$A$26,MATCH($C57,'Shultis Faw'!$A$2:$A$26,1))),$C57*'Shultis Faw'!$C$2/'Shultis Faw'!$A$2)</f>
        <v>2.5582400000000001</v>
      </c>
      <c r="J57" s="83">
        <f>_xlfn.IFNA(INDEX('Shultis Faw'!$D$2:$D$26,MATCH($C57,'Shultis Faw'!$A$2:$A$26,1))+($C57-INDEX('Shultis Faw'!$A$2:$A$26,MATCH($C57,'Shultis Faw'!$A$2:$A$26,1)))*(INDEX('Shultis Faw'!$D$2:$D$26,MATCH($C57,'Shultis Faw'!$A$2:$A$26,1)+1)-INDEX('Shultis Faw'!$D$2:$D$26,MATCH($C57,'Shultis Faw'!$A$2:$A$26,1)))/(INDEX('Shultis Faw'!$A$2:$A$26,MATCH($C57,'Shultis Faw'!$A$2:$A$26,1)+1)-INDEX('Shultis Faw'!$A$2:$A$26,MATCH($C57,'Shultis Faw'!$A$2:$A$26,1))),$C57*'Shultis Faw'!$D$2/'Shultis Faw'!$A$2)</f>
        <v>1.8082240000000001</v>
      </c>
      <c r="K57" s="83">
        <f>_xlfn.IFNA(INDEX('Shultis Faw'!$B$2:$B$26,MATCH($C57,'Shultis Faw'!$A$2:$A$26,1))+($C57-INDEX('Shultis Faw'!$A$2:$A$26,MATCH($C57,'Shultis Faw'!$A$2:$A$26,1)))*(INDEX('Shultis Faw'!$B$2:$B$26,MATCH($C57,'Shultis Faw'!$A$2:$A$26,1)+1)-INDEX('Shultis Faw'!$B$2:$B$26,MATCH($C57,'Shultis Faw'!$A$2:$A$26,1)))/(INDEX('Shultis Faw'!$A$2:$A$26,MATCH($C57,'Shultis Faw'!$A$2:$A$26,1)+1)-INDEX('Shultis Faw'!$A$2:$A$26,MATCH($C57,'Shultis Faw'!$A$2:$A$26,1))),$C57*'Shultis Faw'!$B$2/'Shultis Faw'!$A$2)</f>
        <v>-0.140096</v>
      </c>
      <c r="L57" s="83">
        <f>_xlfn.IFNA(INDEX('Shultis Faw'!$E$2:$E$26,MATCH($C57,'Shultis Faw'!$A$2:$A$26,1))+($C57-INDEX('Shultis Faw'!$A$2:$A$26,MATCH($C57,'Shultis Faw'!$A$2:$A$26,1)))*(INDEX('Shultis Faw'!$E$2:$E$26,MATCH($C57,'Shultis Faw'!$A$2:$A$26,1)+1)-INDEX('Shultis Faw'!$E$2:$E$26,MATCH($C57,'Shultis Faw'!$A$2:$A$26,1)))/(INDEX('Shultis Faw'!$A$2:$A$26,MATCH($C57,'Shultis Faw'!$A$2:$A$26,1)+1)-INDEX('Shultis Faw'!$A$2:$A$26,MATCH($C57,'Shultis Faw'!$A$2:$A$26,1))),$C57*'Shultis Faw'!$E$2/'Shultis Faw'!$A$2)</f>
        <v>5.6383599999999999E-2</v>
      </c>
      <c r="M57" s="83">
        <f>_xlfn.IFNA(INDEX('Shultis Faw'!$F$2:$F$26,MATCH($C57,'Shultis Faw'!$A$2:$A$26,1))+($C57-INDEX('Shultis Faw'!$A$2:$A$26,MATCH($C57,'Shultis Faw'!$A$2:$A$26,1)))*(INDEX('Shultis Faw'!$F$2:$F$26,MATCH($C57,'Shultis Faw'!$A$2:$A$26,1)+1)-INDEX('Shultis Faw'!$F$2:$F$26,MATCH($C57,'Shultis Faw'!$A$2:$A$26,1)))/(INDEX('Shultis Faw'!$A$2:$A$26,MATCH($C57,'Shultis Faw'!$A$2:$A$26,1)+1)-INDEX('Shultis Faw'!$A$2:$A$26,MATCH($C57,'Shultis Faw'!$A$2:$A$26,1))),$C57*'Shultis Faw'!$F$2/'Shultis Faw'!$A$2)</f>
        <v>14.29724</v>
      </c>
      <c r="N57" s="83">
        <f>J57*(H57*'Externe blootstelling'!$D$23/2)^K57+L57*(TANH(((H57*'Externe blootstelling'!$D$23)/(2*M57))-2)-TANH(-2))/(1-TANH(-2))</f>
        <v>1.7087779230268241</v>
      </c>
      <c r="O57" s="83">
        <f>IF(N57=1,1+(I57-1)*H57*'Externe blootstelling'!$D$23/2,1+(I57-1)*(N57^(H57*'Externe blootstelling'!$D$23/2)-1)/(N57-1))</f>
        <v>3.7095155783065779</v>
      </c>
      <c r="P57" s="67">
        <f>G57*EXP(-H57*'Externe blootstelling'!$D$23/2)*O57</f>
        <v>2.4191643763664102E-4</v>
      </c>
      <c r="Q57" s="68"/>
    </row>
    <row r="58" spans="1:17" x14ac:dyDescent="0.2">
      <c r="A58" s="217"/>
      <c r="B58" s="64" t="s">
        <v>104</v>
      </c>
      <c r="C58" s="65">
        <v>0.48499999999999999</v>
      </c>
      <c r="D58" s="66">
        <f t="shared" si="2"/>
        <v>7.7599999999999992E-14</v>
      </c>
      <c r="E58" s="66">
        <v>3.8E-6</v>
      </c>
      <c r="F58" s="66">
        <f>_xlfn.IFNA(INDEX('hp (pSv cm2)'!$B$2:$B$52,MATCH($C58,'hp (pSv cm2)'!$A$2:$A$52,1))+($C58-INDEX('hp (pSv cm2)'!$A$2:$A$52,MATCH($C58,'hp (pSv cm2)'!$A$2:$A$52,1)))*(INDEX('hp (pSv cm2)'!$B$2:$B$52,MATCH($C58,'hp (pSv cm2)'!$A$2:$A$52,1)+1)-INDEX('hp (pSv cm2)'!$B$2:$B$52,MATCH($C58,'hp (pSv cm2)'!$A$2:$A$52,1)))/(INDEX('hp (pSv cm2)'!$A$2:$A$52,MATCH($C58,'hp (pSv cm2)'!$A$2:$A$52,1)+1)-INDEX('hp (pSv cm2)'!$A$2:$A$52,MATCH($C58,'hp (pSv cm2)'!$A$2:$A$52,1))),$C58*'hp (pSv cm2)'!$B$2/'hp (pSv cm2)'!$A$2)</f>
        <v>2.3995000000000002</v>
      </c>
      <c r="G58" s="67">
        <f t="shared" si="3"/>
        <v>9.1181E-6</v>
      </c>
      <c r="H58" s="83">
        <f>_xlfn.IFNA(0.997*(INDEX('Mass attenuation coefficients'!$B$2:$B$37,MATCH($C58,'Mass attenuation coefficients'!$A$2:$A$37,1))+($C58-INDEX('Mass attenuation coefficients'!$A$2:$A$37,MATCH($C58,'Mass attenuation coefficients'!$A$2:$A$37,1)))*(INDEX('Mass attenuation coefficients'!$B$2:$B$37,MATCH($C58,'Mass attenuation coefficients'!$A$2:$A$37,1)+1)-INDEX('Mass attenuation coefficients'!$B$2:$B$37,MATCH($C58,'Mass attenuation coefficients'!$A$2:$A$37,1)))/(INDEX('Mass attenuation coefficients'!$A$2:$A$37,MATCH($C58,'Mass attenuation coefficients'!$A$2:$A$37,1)+1)-INDEX('Mass attenuation coefficients'!$A$2:$A$37,MATCH($C58,'Mass attenuation coefficients'!$A$2:$A$37,1)))),0.997*$C58*'Mass attenuation coefficients'!$B$2/'Mass attenuation coefficients'!$A$2)</f>
        <v>9.7959736499999991E-2</v>
      </c>
      <c r="I58" s="83">
        <f>_xlfn.IFNA(INDEX('Shultis Faw'!$C$2:$C$26,MATCH($C58,'Shultis Faw'!$A$2:$A$26,1))+($C58-INDEX('Shultis Faw'!$A$2:$A$26,MATCH($C58,'Shultis Faw'!$A$2:$A$26,1)))*(INDEX('Shultis Faw'!$C$2:$C$26,MATCH($C58,'Shultis Faw'!$A$2:$A$26,1)+1)-INDEX('Shultis Faw'!$C$2:$C$26,MATCH($C58,'Shultis Faw'!$A$2:$A$26,1)))/(INDEX('Shultis Faw'!$A$2:$A$26,MATCH($C58,'Shultis Faw'!$A$2:$A$26,1)+1)-INDEX('Shultis Faw'!$A$2:$A$26,MATCH($C58,'Shultis Faw'!$A$2:$A$26,1))),$C58*'Shultis Faw'!$C$2/'Shultis Faw'!$A$2)</f>
        <v>2.524</v>
      </c>
      <c r="J58" s="83">
        <f>_xlfn.IFNA(INDEX('Shultis Faw'!$D$2:$D$26,MATCH($C58,'Shultis Faw'!$A$2:$A$26,1))+($C58-INDEX('Shultis Faw'!$A$2:$A$26,MATCH($C58,'Shultis Faw'!$A$2:$A$26,1)))*(INDEX('Shultis Faw'!$D$2:$D$26,MATCH($C58,'Shultis Faw'!$A$2:$A$26,1)+1)-INDEX('Shultis Faw'!$D$2:$D$26,MATCH($C58,'Shultis Faw'!$A$2:$A$26,1)))/(INDEX('Shultis Faw'!$A$2:$A$26,MATCH($C58,'Shultis Faw'!$A$2:$A$26,1)+1)-INDEX('Shultis Faw'!$A$2:$A$26,MATCH($C58,'Shultis Faw'!$A$2:$A$26,1))),$C58*'Shultis Faw'!$D$2/'Shultis Faw'!$A$2)</f>
        <v>1.7834000000000001</v>
      </c>
      <c r="K58" s="83">
        <f>_xlfn.IFNA(INDEX('Shultis Faw'!$B$2:$B$26,MATCH($C58,'Shultis Faw'!$A$2:$A$26,1))+($C58-INDEX('Shultis Faw'!$A$2:$A$26,MATCH($C58,'Shultis Faw'!$A$2:$A$26,1)))*(INDEX('Shultis Faw'!$B$2:$B$26,MATCH($C58,'Shultis Faw'!$A$2:$A$26,1)+1)-INDEX('Shultis Faw'!$B$2:$B$26,MATCH($C58,'Shultis Faw'!$A$2:$A$26,1)))/(INDEX('Shultis Faw'!$A$2:$A$26,MATCH($C58,'Shultis Faw'!$A$2:$A$26,1)+1)-INDEX('Shultis Faw'!$A$2:$A$26,MATCH($C58,'Shultis Faw'!$A$2:$A$26,1))),$C58*'Shultis Faw'!$B$2/'Shultis Faw'!$A$2)</f>
        <v>-0.1371</v>
      </c>
      <c r="L58" s="83">
        <f>_xlfn.IFNA(INDEX('Shultis Faw'!$E$2:$E$26,MATCH($C58,'Shultis Faw'!$A$2:$A$26,1))+($C58-INDEX('Shultis Faw'!$A$2:$A$26,MATCH($C58,'Shultis Faw'!$A$2:$A$26,1)))*(INDEX('Shultis Faw'!$E$2:$E$26,MATCH($C58,'Shultis Faw'!$A$2:$A$26,1)+1)-INDEX('Shultis Faw'!$E$2:$E$26,MATCH($C58,'Shultis Faw'!$A$2:$A$26,1)))/(INDEX('Shultis Faw'!$A$2:$A$26,MATCH($C58,'Shultis Faw'!$A$2:$A$26,1)+1)-INDEX('Shultis Faw'!$A$2:$A$26,MATCH($C58,'Shultis Faw'!$A$2:$A$26,1))),$C58*'Shultis Faw'!$E$2/'Shultis Faw'!$A$2)</f>
        <v>5.5335000000000002E-2</v>
      </c>
      <c r="M58" s="83">
        <f>_xlfn.IFNA(INDEX('Shultis Faw'!$F$2:$F$26,MATCH($C58,'Shultis Faw'!$A$2:$A$26,1))+($C58-INDEX('Shultis Faw'!$A$2:$A$26,MATCH($C58,'Shultis Faw'!$A$2:$A$26,1)))*(INDEX('Shultis Faw'!$F$2:$F$26,MATCH($C58,'Shultis Faw'!$A$2:$A$26,1)+1)-INDEX('Shultis Faw'!$F$2:$F$26,MATCH($C58,'Shultis Faw'!$A$2:$A$26,1)))/(INDEX('Shultis Faw'!$A$2:$A$26,MATCH($C58,'Shultis Faw'!$A$2:$A$26,1)+1)-INDEX('Shultis Faw'!$A$2:$A$26,MATCH($C58,'Shultis Faw'!$A$2:$A$26,1))),$C58*'Shultis Faw'!$F$2/'Shultis Faw'!$A$2)</f>
        <v>14.3165</v>
      </c>
      <c r="N58" s="83">
        <f>J58*(H58*'Externe blootstelling'!$D$23/2)^K58+L58*(TANH(((H58*'Externe blootstelling'!$D$23)/(2*M58))-2)-TANH(-2))/(1-TANH(-2))</f>
        <v>1.6919674361037751</v>
      </c>
      <c r="O58" s="83">
        <f>IF(N58=1,1+(I58-1)*H58*'Externe blootstelling'!$D$23/2,1+(I58-1)*(N58^(H58*'Externe blootstelling'!$D$23/2)-1)/(N58-1))</f>
        <v>3.5673561392693629</v>
      </c>
      <c r="P58" s="67">
        <f>G58*EXP(-H58*'Externe blootstelling'!$D$23/2)*O58</f>
        <v>7.4834217885147013E-6</v>
      </c>
      <c r="Q58" s="68"/>
    </row>
    <row r="59" spans="1:17" x14ac:dyDescent="0.2">
      <c r="A59" s="217"/>
      <c r="B59" s="64" t="s">
        <v>104</v>
      </c>
      <c r="C59" s="65">
        <v>0.48775000000000002</v>
      </c>
      <c r="D59" s="66">
        <f t="shared" si="2"/>
        <v>7.8040000000000001E-14</v>
      </c>
      <c r="E59" s="66">
        <v>3.6000000000000003E-6</v>
      </c>
      <c r="F59" s="66">
        <f>_xlfn.IFNA(INDEX('hp (pSv cm2)'!$B$2:$B$52,MATCH($C59,'hp (pSv cm2)'!$A$2:$A$52,1))+($C59-INDEX('hp (pSv cm2)'!$A$2:$A$52,MATCH($C59,'hp (pSv cm2)'!$A$2:$A$52,1)))*(INDEX('hp (pSv cm2)'!$B$2:$B$52,MATCH($C59,'hp (pSv cm2)'!$A$2:$A$52,1)+1)-INDEX('hp (pSv cm2)'!$B$2:$B$52,MATCH($C59,'hp (pSv cm2)'!$A$2:$A$52,1)))/(INDEX('hp (pSv cm2)'!$A$2:$A$52,MATCH($C59,'hp (pSv cm2)'!$A$2:$A$52,1)+1)-INDEX('hp (pSv cm2)'!$A$2:$A$52,MATCH($C59,'hp (pSv cm2)'!$A$2:$A$52,1))),$C59*'hp (pSv cm2)'!$B$2/'hp (pSv cm2)'!$A$2)</f>
        <v>2.4124250000000003</v>
      </c>
      <c r="G59" s="67">
        <f t="shared" si="3"/>
        <v>8.6847300000000021E-6</v>
      </c>
      <c r="H59" s="83">
        <f>_xlfn.IFNA(0.997*(INDEX('Mass attenuation coefficients'!$B$2:$B$37,MATCH($C59,'Mass attenuation coefficients'!$A$2:$A$37,1))+($C59-INDEX('Mass attenuation coefficients'!$A$2:$A$37,MATCH($C59,'Mass attenuation coefficients'!$A$2:$A$37,1)))*(INDEX('Mass attenuation coefficients'!$B$2:$B$37,MATCH($C59,'Mass attenuation coefficients'!$A$2:$A$37,1)+1)-INDEX('Mass attenuation coefficients'!$B$2:$B$37,MATCH($C59,'Mass attenuation coefficients'!$A$2:$A$37,1)))/(INDEX('Mass attenuation coefficients'!$A$2:$A$37,MATCH($C59,'Mass attenuation coefficients'!$A$2:$A$37,1)+1)-INDEX('Mass attenuation coefficients'!$A$2:$A$37,MATCH($C59,'Mass attenuation coefficients'!$A$2:$A$37,1)))),0.997*$C59*'Mass attenuation coefficients'!$B$2/'Mass attenuation coefficients'!$A$2)</f>
        <v>9.7706672974999992E-2</v>
      </c>
      <c r="I59" s="83">
        <f>_xlfn.IFNA(INDEX('Shultis Faw'!$C$2:$C$26,MATCH($C59,'Shultis Faw'!$A$2:$A$26,1))+($C59-INDEX('Shultis Faw'!$A$2:$A$26,MATCH($C59,'Shultis Faw'!$A$2:$A$26,1)))*(INDEX('Shultis Faw'!$C$2:$C$26,MATCH($C59,'Shultis Faw'!$A$2:$A$26,1)+1)-INDEX('Shultis Faw'!$C$2:$C$26,MATCH($C59,'Shultis Faw'!$A$2:$A$26,1)))/(INDEX('Shultis Faw'!$A$2:$A$26,MATCH($C59,'Shultis Faw'!$A$2:$A$26,1)+1)-INDEX('Shultis Faw'!$A$2:$A$26,MATCH($C59,'Shultis Faw'!$A$2:$A$26,1))),$C59*'Shultis Faw'!$C$2/'Shultis Faw'!$A$2)</f>
        <v>2.5196000000000001</v>
      </c>
      <c r="J59" s="83">
        <f>_xlfn.IFNA(INDEX('Shultis Faw'!$D$2:$D$26,MATCH($C59,'Shultis Faw'!$A$2:$A$26,1))+($C59-INDEX('Shultis Faw'!$A$2:$A$26,MATCH($C59,'Shultis Faw'!$A$2:$A$26,1)))*(INDEX('Shultis Faw'!$D$2:$D$26,MATCH($C59,'Shultis Faw'!$A$2:$A$26,1)+1)-INDEX('Shultis Faw'!$D$2:$D$26,MATCH($C59,'Shultis Faw'!$A$2:$A$26,1)))/(INDEX('Shultis Faw'!$A$2:$A$26,MATCH($C59,'Shultis Faw'!$A$2:$A$26,1)+1)-INDEX('Shultis Faw'!$A$2:$A$26,MATCH($C59,'Shultis Faw'!$A$2:$A$26,1))),$C59*'Shultis Faw'!$D$2/'Shultis Faw'!$A$2)</f>
        <v>1.7802100000000001</v>
      </c>
      <c r="K59" s="83">
        <f>_xlfn.IFNA(INDEX('Shultis Faw'!$B$2:$B$26,MATCH($C59,'Shultis Faw'!$A$2:$A$26,1))+($C59-INDEX('Shultis Faw'!$A$2:$A$26,MATCH($C59,'Shultis Faw'!$A$2:$A$26,1)))*(INDEX('Shultis Faw'!$B$2:$B$26,MATCH($C59,'Shultis Faw'!$A$2:$A$26,1)+1)-INDEX('Shultis Faw'!$B$2:$B$26,MATCH($C59,'Shultis Faw'!$A$2:$A$26,1)))/(INDEX('Shultis Faw'!$A$2:$A$26,MATCH($C59,'Shultis Faw'!$A$2:$A$26,1)+1)-INDEX('Shultis Faw'!$A$2:$A$26,MATCH($C59,'Shultis Faw'!$A$2:$A$26,1))),$C59*'Shultis Faw'!$B$2/'Shultis Faw'!$A$2)</f>
        <v>-0.136715</v>
      </c>
      <c r="L59" s="83">
        <f>_xlfn.IFNA(INDEX('Shultis Faw'!$E$2:$E$26,MATCH($C59,'Shultis Faw'!$A$2:$A$26,1))+($C59-INDEX('Shultis Faw'!$A$2:$A$26,MATCH($C59,'Shultis Faw'!$A$2:$A$26,1)))*(INDEX('Shultis Faw'!$E$2:$E$26,MATCH($C59,'Shultis Faw'!$A$2:$A$26,1)+1)-INDEX('Shultis Faw'!$E$2:$E$26,MATCH($C59,'Shultis Faw'!$A$2:$A$26,1)))/(INDEX('Shultis Faw'!$A$2:$A$26,MATCH($C59,'Shultis Faw'!$A$2:$A$26,1)+1)-INDEX('Shultis Faw'!$A$2:$A$26,MATCH($C59,'Shultis Faw'!$A$2:$A$26,1))),$C59*'Shultis Faw'!$E$2/'Shultis Faw'!$A$2)</f>
        <v>5.5200249999999999E-2</v>
      </c>
      <c r="M59" s="83">
        <f>_xlfn.IFNA(INDEX('Shultis Faw'!$F$2:$F$26,MATCH($C59,'Shultis Faw'!$A$2:$A$26,1))+($C59-INDEX('Shultis Faw'!$A$2:$A$26,MATCH($C59,'Shultis Faw'!$A$2:$A$26,1)))*(INDEX('Shultis Faw'!$F$2:$F$26,MATCH($C59,'Shultis Faw'!$A$2:$A$26,1)+1)-INDEX('Shultis Faw'!$F$2:$F$26,MATCH($C59,'Shultis Faw'!$A$2:$A$26,1)))/(INDEX('Shultis Faw'!$A$2:$A$26,MATCH($C59,'Shultis Faw'!$A$2:$A$26,1)+1)-INDEX('Shultis Faw'!$A$2:$A$26,MATCH($C59,'Shultis Faw'!$A$2:$A$26,1))),$C59*'Shultis Faw'!$F$2/'Shultis Faw'!$A$2)</f>
        <v>14.318975</v>
      </c>
      <c r="N59" s="83">
        <f>J59*(H59*'Externe blootstelling'!$D$23/2)^K59+L59*(TANH(((H59*'Externe blootstelling'!$D$23)/(2*M59))-2)-TANH(-2))/(1-TANH(-2))</f>
        <v>1.6897877743504472</v>
      </c>
      <c r="O59" s="83">
        <f>IF(N59=1,1+(I59-1)*H59*'Externe blootstelling'!$D$23/2,1+(I59-1)*(N59^(H59*'Externe blootstelling'!$D$23/2)-1)/(N59-1))</f>
        <v>3.5495310127899424</v>
      </c>
      <c r="P59" s="67">
        <f>G59*EXP(-H59*'Externe blootstelling'!$D$23/2)*O59</f>
        <v>7.1191027711033678E-6</v>
      </c>
      <c r="Q59" s="68"/>
    </row>
    <row r="60" spans="1:17" x14ac:dyDescent="0.2">
      <c r="A60" s="217"/>
      <c r="B60" s="64" t="s">
        <v>104</v>
      </c>
      <c r="C60" s="65">
        <v>0.50914999999999999</v>
      </c>
      <c r="D60" s="66">
        <f t="shared" si="2"/>
        <v>8.1464E-14</v>
      </c>
      <c r="E60" s="66">
        <v>1.9000000000000001E-5</v>
      </c>
      <c r="F60" s="66">
        <f>_xlfn.IFNA(INDEX('hp (pSv cm2)'!$B$2:$B$52,MATCH($C60,'hp (pSv cm2)'!$A$2:$A$52,1))+($C60-INDEX('hp (pSv cm2)'!$A$2:$A$52,MATCH($C60,'hp (pSv cm2)'!$A$2:$A$52,1)))*(INDEX('hp (pSv cm2)'!$B$2:$B$52,MATCH($C60,'hp (pSv cm2)'!$A$2:$A$52,1)+1)-INDEX('hp (pSv cm2)'!$B$2:$B$52,MATCH($C60,'hp (pSv cm2)'!$A$2:$A$52,1)))/(INDEX('hp (pSv cm2)'!$A$2:$A$52,MATCH($C60,'hp (pSv cm2)'!$A$2:$A$52,1)+1)-INDEX('hp (pSv cm2)'!$A$2:$A$52,MATCH($C60,'hp (pSv cm2)'!$A$2:$A$52,1))),$C60*'hp (pSv cm2)'!$B$2/'hp (pSv cm2)'!$A$2)</f>
        <v>2.5102600000000002</v>
      </c>
      <c r="G60" s="67">
        <f t="shared" si="3"/>
        <v>4.7694940000000006E-5</v>
      </c>
      <c r="H60" s="83">
        <f>_xlfn.IFNA(0.997*(INDEX('Mass attenuation coefficients'!$B$2:$B$37,MATCH($C60,'Mass attenuation coefficients'!$A$2:$A$37,1))+($C60-INDEX('Mass attenuation coefficients'!$A$2:$A$37,MATCH($C60,'Mass attenuation coefficients'!$A$2:$A$37,1)))*(INDEX('Mass attenuation coefficients'!$B$2:$B$37,MATCH($C60,'Mass attenuation coefficients'!$A$2:$A$37,1)+1)-INDEX('Mass attenuation coefficients'!$B$2:$B$37,MATCH($C60,'Mass attenuation coefficients'!$A$2:$A$37,1)))/(INDEX('Mass attenuation coefficients'!$A$2:$A$37,MATCH($C60,'Mass attenuation coefficients'!$A$2:$A$37,1)+1)-INDEX('Mass attenuation coefficients'!$A$2:$A$37,MATCH($C60,'Mass attenuation coefficients'!$A$2:$A$37,1)))),0.997*$C60*'Mass attenuation coefficients'!$B$2/'Mass attenuation coefficients'!$A$2)</f>
        <v>9.5912531594999989E-2</v>
      </c>
      <c r="I60" s="83">
        <f>_xlfn.IFNA(INDEX('Shultis Faw'!$C$2:$C$26,MATCH($C60,'Shultis Faw'!$A$2:$A$26,1))+($C60-INDEX('Shultis Faw'!$A$2:$A$26,MATCH($C60,'Shultis Faw'!$A$2:$A$26,1)))*(INDEX('Shultis Faw'!$C$2:$C$26,MATCH($C60,'Shultis Faw'!$A$2:$A$26,1)+1)-INDEX('Shultis Faw'!$C$2:$C$26,MATCH($C60,'Shultis Faw'!$A$2:$A$26,1)))/(INDEX('Shultis Faw'!$A$2:$A$26,MATCH($C60,'Shultis Faw'!$A$2:$A$26,1)+1)-INDEX('Shultis Faw'!$A$2:$A$26,MATCH($C60,'Shultis Faw'!$A$2:$A$26,1))),$C60*'Shultis Faw'!$C$2/'Shultis Faw'!$A$2)</f>
        <v>2.4887454999999998</v>
      </c>
      <c r="J60" s="83">
        <f>_xlfn.IFNA(INDEX('Shultis Faw'!$D$2:$D$26,MATCH($C60,'Shultis Faw'!$A$2:$A$26,1))+($C60-INDEX('Shultis Faw'!$A$2:$A$26,MATCH($C60,'Shultis Faw'!$A$2:$A$26,1)))*(INDEX('Shultis Faw'!$D$2:$D$26,MATCH($C60,'Shultis Faw'!$A$2:$A$26,1)+1)-INDEX('Shultis Faw'!$D$2:$D$26,MATCH($C60,'Shultis Faw'!$A$2:$A$26,1)))/(INDEX('Shultis Faw'!$A$2:$A$26,MATCH($C60,'Shultis Faw'!$A$2:$A$26,1)+1)-INDEX('Shultis Faw'!$A$2:$A$26,MATCH($C60,'Shultis Faw'!$A$2:$A$26,1))),$C60*'Shultis Faw'!$D$2/'Shultis Faw'!$A$2)</f>
        <v>1.7580395</v>
      </c>
      <c r="K60" s="83">
        <f>_xlfn.IFNA(INDEX('Shultis Faw'!$B$2:$B$26,MATCH($C60,'Shultis Faw'!$A$2:$A$26,1))+($C60-INDEX('Shultis Faw'!$A$2:$A$26,MATCH($C60,'Shultis Faw'!$A$2:$A$26,1)))*(INDEX('Shultis Faw'!$B$2:$B$26,MATCH($C60,'Shultis Faw'!$A$2:$A$26,1)+1)-INDEX('Shultis Faw'!$B$2:$B$26,MATCH($C60,'Shultis Faw'!$A$2:$A$26,1)))/(INDEX('Shultis Faw'!$A$2:$A$26,MATCH($C60,'Shultis Faw'!$A$2:$A$26,1)+1)-INDEX('Shultis Faw'!$A$2:$A$26,MATCH($C60,'Shultis Faw'!$A$2:$A$26,1))),$C60*'Shultis Faw'!$B$2/'Shultis Faw'!$A$2)</f>
        <v>-0.13399350000000002</v>
      </c>
      <c r="L60" s="83">
        <f>_xlfn.IFNA(INDEX('Shultis Faw'!$E$2:$E$26,MATCH($C60,'Shultis Faw'!$A$2:$A$26,1))+($C60-INDEX('Shultis Faw'!$A$2:$A$26,MATCH($C60,'Shultis Faw'!$A$2:$A$26,1)))*(INDEX('Shultis Faw'!$E$2:$E$26,MATCH($C60,'Shultis Faw'!$A$2:$A$26,1)+1)-INDEX('Shultis Faw'!$E$2:$E$26,MATCH($C60,'Shultis Faw'!$A$2:$A$26,1)))/(INDEX('Shultis Faw'!$A$2:$A$26,MATCH($C60,'Shultis Faw'!$A$2:$A$26,1)+1)-INDEX('Shultis Faw'!$A$2:$A$26,MATCH($C60,'Shultis Faw'!$A$2:$A$26,1))),$C60*'Shultis Faw'!$E$2/'Shultis Faw'!$A$2)</f>
        <v>5.4206549999999999E-2</v>
      </c>
      <c r="M60" s="83">
        <f>_xlfn.IFNA(INDEX('Shultis Faw'!$F$2:$F$26,MATCH($C60,'Shultis Faw'!$A$2:$A$26,1))+($C60-INDEX('Shultis Faw'!$A$2:$A$26,MATCH($C60,'Shultis Faw'!$A$2:$A$26,1)))*(INDEX('Shultis Faw'!$F$2:$F$26,MATCH($C60,'Shultis Faw'!$A$2:$A$26,1)+1)-INDEX('Shultis Faw'!$F$2:$F$26,MATCH($C60,'Shultis Faw'!$A$2:$A$26,1)))/(INDEX('Shultis Faw'!$A$2:$A$26,MATCH($C60,'Shultis Faw'!$A$2:$A$26,1)+1)-INDEX('Shultis Faw'!$A$2:$A$26,MATCH($C60,'Shultis Faw'!$A$2:$A$26,1))),$C60*'Shultis Faw'!$F$2/'Shultis Faw'!$A$2)</f>
        <v>14.32085</v>
      </c>
      <c r="N60" s="83">
        <f>J60*(H60*'Externe blootstelling'!$D$23/2)^K60+L60*(TANH(((H60*'Externe blootstelling'!$D$23)/(2*M60))-2)-TANH(-2))/(1-TANH(-2))</f>
        <v>1.6746273294087091</v>
      </c>
      <c r="O60" s="83">
        <f>IF(N60=1,1+(I60-1)*H60*'Externe blootstelling'!$D$23/2,1+(I60-1)*(N60^(H60*'Externe blootstelling'!$D$23/2)-1)/(N60-1))</f>
        <v>3.4266873860001699</v>
      </c>
      <c r="P60" s="67">
        <f>G60*EXP(-H60*'Externe blootstelling'!$D$23/2)*O60</f>
        <v>3.8773280268166798E-5</v>
      </c>
      <c r="Q60" s="68"/>
    </row>
    <row r="61" spans="1:17" x14ac:dyDescent="0.2">
      <c r="A61" s="217"/>
      <c r="B61" s="64" t="s">
        <v>104</v>
      </c>
      <c r="C61" s="65">
        <v>0.52129999999999999</v>
      </c>
      <c r="D61" s="66">
        <f t="shared" si="2"/>
        <v>8.3408000000000002E-14</v>
      </c>
      <c r="E61" s="66">
        <v>6.7000000000000002E-5</v>
      </c>
      <c r="F61" s="66">
        <f>_xlfn.IFNA(INDEX('hp (pSv cm2)'!$B$2:$B$52,MATCH($C61,'hp (pSv cm2)'!$A$2:$A$52,1))+($C61-INDEX('hp (pSv cm2)'!$A$2:$A$52,MATCH($C61,'hp (pSv cm2)'!$A$2:$A$52,1)))*(INDEX('hp (pSv cm2)'!$B$2:$B$52,MATCH($C61,'hp (pSv cm2)'!$A$2:$A$52,1)+1)-INDEX('hp (pSv cm2)'!$B$2:$B$52,MATCH($C61,'hp (pSv cm2)'!$A$2:$A$52,1)))/(INDEX('hp (pSv cm2)'!$A$2:$A$52,MATCH($C61,'hp (pSv cm2)'!$A$2:$A$52,1)+1)-INDEX('hp (pSv cm2)'!$A$2:$A$52,MATCH($C61,'hp (pSv cm2)'!$A$2:$A$52,1))),$C61*'hp (pSv cm2)'!$B$2/'hp (pSv cm2)'!$A$2)</f>
        <v>2.56372</v>
      </c>
      <c r="G61" s="67">
        <f t="shared" si="3"/>
        <v>1.7176924000000002E-4</v>
      </c>
      <c r="H61" s="83">
        <f>_xlfn.IFNA(0.997*(INDEX('Mass attenuation coefficients'!$B$2:$B$37,MATCH($C61,'Mass attenuation coefficients'!$A$2:$A$37,1))+($C61-INDEX('Mass attenuation coefficients'!$A$2:$A$37,MATCH($C61,'Mass attenuation coefficients'!$A$2:$A$37,1)))*(INDEX('Mass attenuation coefficients'!$B$2:$B$37,MATCH($C61,'Mass attenuation coefficients'!$A$2:$A$37,1)+1)-INDEX('Mass attenuation coefficients'!$B$2:$B$37,MATCH($C61,'Mass attenuation coefficients'!$A$2:$A$37,1)))/(INDEX('Mass attenuation coefficients'!$A$2:$A$37,MATCH($C61,'Mass attenuation coefficients'!$A$2:$A$37,1)+1)-INDEX('Mass attenuation coefficients'!$A$2:$A$37,MATCH($C61,'Mass attenuation coefficients'!$A$2:$A$37,1)))),0.997*$C61*'Mass attenuation coefficients'!$B$2/'Mass attenuation coefficients'!$A$2)</f>
        <v>9.5027031089999991E-2</v>
      </c>
      <c r="I61" s="83">
        <f>_xlfn.IFNA(INDEX('Shultis Faw'!$C$2:$C$26,MATCH($C61,'Shultis Faw'!$A$2:$A$26,1))+($C61-INDEX('Shultis Faw'!$A$2:$A$26,MATCH($C61,'Shultis Faw'!$A$2:$A$26,1)))*(INDEX('Shultis Faw'!$C$2:$C$26,MATCH($C61,'Shultis Faw'!$A$2:$A$26,1)+1)-INDEX('Shultis Faw'!$C$2:$C$26,MATCH($C61,'Shultis Faw'!$A$2:$A$26,1)))/(INDEX('Shultis Faw'!$A$2:$A$26,MATCH($C61,'Shultis Faw'!$A$2:$A$26,1)+1)-INDEX('Shultis Faw'!$A$2:$A$26,MATCH($C61,'Shultis Faw'!$A$2:$A$26,1))),$C61*'Shultis Faw'!$C$2/'Shultis Faw'!$A$2)</f>
        <v>2.4738009999999999</v>
      </c>
      <c r="J61" s="83">
        <f>_xlfn.IFNA(INDEX('Shultis Faw'!$D$2:$D$26,MATCH($C61,'Shultis Faw'!$A$2:$A$26,1))+($C61-INDEX('Shultis Faw'!$A$2:$A$26,MATCH($C61,'Shultis Faw'!$A$2:$A$26,1)))*(INDEX('Shultis Faw'!$D$2:$D$26,MATCH($C61,'Shultis Faw'!$A$2:$A$26,1)+1)-INDEX('Shultis Faw'!$D$2:$D$26,MATCH($C61,'Shultis Faw'!$A$2:$A$26,1)))/(INDEX('Shultis Faw'!$A$2:$A$26,MATCH($C61,'Shultis Faw'!$A$2:$A$26,1)+1)-INDEX('Shultis Faw'!$A$2:$A$26,MATCH($C61,'Shultis Faw'!$A$2:$A$26,1))),$C61*'Shultis Faw'!$D$2/'Shultis Faw'!$A$2)</f>
        <v>1.7474689999999999</v>
      </c>
      <c r="K61" s="83">
        <f>_xlfn.IFNA(INDEX('Shultis Faw'!$B$2:$B$26,MATCH($C61,'Shultis Faw'!$A$2:$A$26,1))+($C61-INDEX('Shultis Faw'!$A$2:$A$26,MATCH($C61,'Shultis Faw'!$A$2:$A$26,1)))*(INDEX('Shultis Faw'!$B$2:$B$26,MATCH($C61,'Shultis Faw'!$A$2:$A$26,1)+1)-INDEX('Shultis Faw'!$B$2:$B$26,MATCH($C61,'Shultis Faw'!$A$2:$A$26,1)))/(INDEX('Shultis Faw'!$A$2:$A$26,MATCH($C61,'Shultis Faw'!$A$2:$A$26,1)+1)-INDEX('Shultis Faw'!$A$2:$A$26,MATCH($C61,'Shultis Faw'!$A$2:$A$26,1))),$C61*'Shultis Faw'!$B$2/'Shultis Faw'!$A$2)</f>
        <v>-0.132657</v>
      </c>
      <c r="L61" s="83">
        <f>_xlfn.IFNA(INDEX('Shultis Faw'!$E$2:$E$26,MATCH($C61,'Shultis Faw'!$A$2:$A$26,1))+($C61-INDEX('Shultis Faw'!$A$2:$A$26,MATCH($C61,'Shultis Faw'!$A$2:$A$26,1)))*(INDEX('Shultis Faw'!$E$2:$E$26,MATCH($C61,'Shultis Faw'!$A$2:$A$26,1)+1)-INDEX('Shultis Faw'!$E$2:$E$26,MATCH($C61,'Shultis Faw'!$A$2:$A$26,1)))/(INDEX('Shultis Faw'!$A$2:$A$26,MATCH($C61,'Shultis Faw'!$A$2:$A$26,1)+1)-INDEX('Shultis Faw'!$A$2:$A$26,MATCH($C61,'Shultis Faw'!$A$2:$A$26,1))),$C61*'Shultis Faw'!$E$2/'Shultis Faw'!$A$2)</f>
        <v>5.3684099999999998E-2</v>
      </c>
      <c r="M61" s="83">
        <f>_xlfn.IFNA(INDEX('Shultis Faw'!$F$2:$F$26,MATCH($C61,'Shultis Faw'!$A$2:$A$26,1))+($C61-INDEX('Shultis Faw'!$A$2:$A$26,MATCH($C61,'Shultis Faw'!$A$2:$A$26,1)))*(INDEX('Shultis Faw'!$F$2:$F$26,MATCH($C61,'Shultis Faw'!$A$2:$A$26,1)+1)-INDEX('Shultis Faw'!$F$2:$F$26,MATCH($C61,'Shultis Faw'!$A$2:$A$26,1)))/(INDEX('Shultis Faw'!$A$2:$A$26,MATCH($C61,'Shultis Faw'!$A$2:$A$26,1)+1)-INDEX('Shultis Faw'!$A$2:$A$26,MATCH($C61,'Shultis Faw'!$A$2:$A$26,1))),$C61*'Shultis Faw'!$F$2/'Shultis Faw'!$A$2)</f>
        <v>14.3087</v>
      </c>
      <c r="N61" s="83">
        <f>J61*(H61*'Externe blootstelling'!$D$23/2)^K61+L61*(TANH(((H61*'Externe blootstelling'!$D$23)/(2*M61))-2)-TANH(-2))/(1-TANH(-2))</f>
        <v>1.667414993486976</v>
      </c>
      <c r="O61" s="83">
        <f>IF(N61=1,1+(I61-1)*H61*'Externe blootstelling'!$D$23/2,1+(I61-1)*(N61^(H61*'Externe blootstelling'!$D$23/2)-1)/(N61-1))</f>
        <v>3.3684008019505751</v>
      </c>
      <c r="P61" s="67">
        <f>G61*EXP(-H61*'Externe blootstelling'!$D$23/2)*O61</f>
        <v>1.390988141904662E-4</v>
      </c>
      <c r="Q61" s="68"/>
    </row>
    <row r="62" spans="1:17" x14ac:dyDescent="0.2">
      <c r="A62" s="217"/>
      <c r="B62" s="64" t="s">
        <v>104</v>
      </c>
      <c r="C62" s="65">
        <v>0.53139999999999998</v>
      </c>
      <c r="D62" s="66">
        <f t="shared" si="2"/>
        <v>8.5024E-14</v>
      </c>
      <c r="E62" s="66">
        <v>5.44E-4</v>
      </c>
      <c r="F62" s="66">
        <f>_xlfn.IFNA(INDEX('hp (pSv cm2)'!$B$2:$B$52,MATCH($C62,'hp (pSv cm2)'!$A$2:$A$52,1))+($C62-INDEX('hp (pSv cm2)'!$A$2:$A$52,MATCH($C62,'hp (pSv cm2)'!$A$2:$A$52,1)))*(INDEX('hp (pSv cm2)'!$B$2:$B$52,MATCH($C62,'hp (pSv cm2)'!$A$2:$A$52,1)+1)-INDEX('hp (pSv cm2)'!$B$2:$B$52,MATCH($C62,'hp (pSv cm2)'!$A$2:$A$52,1)))/(INDEX('hp (pSv cm2)'!$A$2:$A$52,MATCH($C62,'hp (pSv cm2)'!$A$2:$A$52,1)+1)-INDEX('hp (pSv cm2)'!$A$2:$A$52,MATCH($C62,'hp (pSv cm2)'!$A$2:$A$52,1))),$C62*'hp (pSv cm2)'!$B$2/'hp (pSv cm2)'!$A$2)</f>
        <v>2.6081600000000003</v>
      </c>
      <c r="G62" s="67">
        <f t="shared" si="3"/>
        <v>1.4188390400000001E-3</v>
      </c>
      <c r="H62" s="83">
        <f>_xlfn.IFNA(0.997*(INDEX('Mass attenuation coefficients'!$B$2:$B$37,MATCH($C62,'Mass attenuation coefficients'!$A$2:$A$37,1))+($C62-INDEX('Mass attenuation coefficients'!$A$2:$A$37,MATCH($C62,'Mass attenuation coefficients'!$A$2:$A$37,1)))*(INDEX('Mass attenuation coefficients'!$B$2:$B$37,MATCH($C62,'Mass attenuation coefficients'!$A$2:$A$37,1)+1)-INDEX('Mass attenuation coefficients'!$B$2:$B$37,MATCH($C62,'Mass attenuation coefficients'!$A$2:$A$37,1)))/(INDEX('Mass attenuation coefficients'!$A$2:$A$37,MATCH($C62,'Mass attenuation coefficients'!$A$2:$A$37,1)+1)-INDEX('Mass attenuation coefficients'!$A$2:$A$37,MATCH($C62,'Mass attenuation coefficients'!$A$2:$A$37,1)))),0.997*$C62*'Mass attenuation coefficients'!$B$2/'Mass attenuation coefficients'!$A$2)</f>
        <v>9.4290936020000007E-2</v>
      </c>
      <c r="I62" s="83">
        <f>_xlfn.IFNA(INDEX('Shultis Faw'!$C$2:$C$26,MATCH($C62,'Shultis Faw'!$A$2:$A$26,1))+($C62-INDEX('Shultis Faw'!$A$2:$A$26,MATCH($C62,'Shultis Faw'!$A$2:$A$26,1)))*(INDEX('Shultis Faw'!$C$2:$C$26,MATCH($C62,'Shultis Faw'!$A$2:$A$26,1)+1)-INDEX('Shultis Faw'!$C$2:$C$26,MATCH($C62,'Shultis Faw'!$A$2:$A$26,1)))/(INDEX('Shultis Faw'!$A$2:$A$26,MATCH($C62,'Shultis Faw'!$A$2:$A$26,1)+1)-INDEX('Shultis Faw'!$A$2:$A$26,MATCH($C62,'Shultis Faw'!$A$2:$A$26,1))),$C62*'Shultis Faw'!$C$2/'Shultis Faw'!$A$2)</f>
        <v>2.4613779999999998</v>
      </c>
      <c r="J62" s="83">
        <f>_xlfn.IFNA(INDEX('Shultis Faw'!$D$2:$D$26,MATCH($C62,'Shultis Faw'!$A$2:$A$26,1))+($C62-INDEX('Shultis Faw'!$A$2:$A$26,MATCH($C62,'Shultis Faw'!$A$2:$A$26,1)))*(INDEX('Shultis Faw'!$D$2:$D$26,MATCH($C62,'Shultis Faw'!$A$2:$A$26,1)+1)-INDEX('Shultis Faw'!$D$2:$D$26,MATCH($C62,'Shultis Faw'!$A$2:$A$26,1)))/(INDEX('Shultis Faw'!$A$2:$A$26,MATCH($C62,'Shultis Faw'!$A$2:$A$26,1)+1)-INDEX('Shultis Faw'!$A$2:$A$26,MATCH($C62,'Shultis Faw'!$A$2:$A$26,1))),$C62*'Shultis Faw'!$D$2/'Shultis Faw'!$A$2)</f>
        <v>1.7386820000000001</v>
      </c>
      <c r="K62" s="83">
        <f>_xlfn.IFNA(INDEX('Shultis Faw'!$B$2:$B$26,MATCH($C62,'Shultis Faw'!$A$2:$A$26,1))+($C62-INDEX('Shultis Faw'!$A$2:$A$26,MATCH($C62,'Shultis Faw'!$A$2:$A$26,1)))*(INDEX('Shultis Faw'!$B$2:$B$26,MATCH($C62,'Shultis Faw'!$A$2:$A$26,1)+1)-INDEX('Shultis Faw'!$B$2:$B$26,MATCH($C62,'Shultis Faw'!$A$2:$A$26,1)))/(INDEX('Shultis Faw'!$A$2:$A$26,MATCH($C62,'Shultis Faw'!$A$2:$A$26,1)+1)-INDEX('Shultis Faw'!$A$2:$A$26,MATCH($C62,'Shultis Faw'!$A$2:$A$26,1))),$C62*'Shultis Faw'!$B$2/'Shultis Faw'!$A$2)</f>
        <v>-0.131546</v>
      </c>
      <c r="L62" s="83">
        <f>_xlfn.IFNA(INDEX('Shultis Faw'!$E$2:$E$26,MATCH($C62,'Shultis Faw'!$A$2:$A$26,1))+($C62-INDEX('Shultis Faw'!$A$2:$A$26,MATCH($C62,'Shultis Faw'!$A$2:$A$26,1)))*(INDEX('Shultis Faw'!$E$2:$E$26,MATCH($C62,'Shultis Faw'!$A$2:$A$26,1)+1)-INDEX('Shultis Faw'!$E$2:$E$26,MATCH($C62,'Shultis Faw'!$A$2:$A$26,1)))/(INDEX('Shultis Faw'!$A$2:$A$26,MATCH($C62,'Shultis Faw'!$A$2:$A$26,1)+1)-INDEX('Shultis Faw'!$A$2:$A$26,MATCH($C62,'Shultis Faw'!$A$2:$A$26,1))),$C62*'Shultis Faw'!$E$2/'Shultis Faw'!$A$2)</f>
        <v>5.32498E-2</v>
      </c>
      <c r="M62" s="83">
        <f>_xlfn.IFNA(INDEX('Shultis Faw'!$F$2:$F$26,MATCH($C62,'Shultis Faw'!$A$2:$A$26,1))+($C62-INDEX('Shultis Faw'!$A$2:$A$26,MATCH($C62,'Shultis Faw'!$A$2:$A$26,1)))*(INDEX('Shultis Faw'!$F$2:$F$26,MATCH($C62,'Shultis Faw'!$A$2:$A$26,1)+1)-INDEX('Shultis Faw'!$F$2:$F$26,MATCH($C62,'Shultis Faw'!$A$2:$A$26,1)))/(INDEX('Shultis Faw'!$A$2:$A$26,MATCH($C62,'Shultis Faw'!$A$2:$A$26,1)+1)-INDEX('Shultis Faw'!$A$2:$A$26,MATCH($C62,'Shultis Faw'!$A$2:$A$26,1))),$C62*'Shultis Faw'!$F$2/'Shultis Faw'!$A$2)</f>
        <v>14.2986</v>
      </c>
      <c r="N62" s="83">
        <f>J62*(H62*'Externe blootstelling'!$D$23/2)^K62+L62*(TANH(((H62*'Externe blootstelling'!$D$23)/(2*M62))-2)-TANH(-2))/(1-TANH(-2))</f>
        <v>1.6613800523709161</v>
      </c>
      <c r="O62" s="83">
        <f>IF(N62=1,1+(I62-1)*H62*'Externe blootstelling'!$D$23/2,1+(I62-1)*(N62^(H62*'Externe blootstelling'!$D$23/2)-1)/(N62-1))</f>
        <v>3.320793798299865</v>
      </c>
      <c r="P62" s="67">
        <f>G62*EXP(-H62*'Externe blootstelling'!$D$23/2)*O62</f>
        <v>1.1453139249296383E-3</v>
      </c>
      <c r="Q62" s="68"/>
    </row>
    <row r="63" spans="1:17" x14ac:dyDescent="0.2">
      <c r="A63" s="217"/>
      <c r="B63" s="64" t="s">
        <v>104</v>
      </c>
      <c r="C63" s="65">
        <v>0.53320000000000001</v>
      </c>
      <c r="D63" s="66">
        <f t="shared" si="2"/>
        <v>8.5311999999999998E-14</v>
      </c>
      <c r="E63" s="66">
        <v>2.9399999999999999E-4</v>
      </c>
      <c r="F63" s="66">
        <f>_xlfn.IFNA(INDEX('hp (pSv cm2)'!$B$2:$B$52,MATCH($C63,'hp (pSv cm2)'!$A$2:$A$52,1))+($C63-INDEX('hp (pSv cm2)'!$A$2:$A$52,MATCH($C63,'hp (pSv cm2)'!$A$2:$A$52,1)))*(INDEX('hp (pSv cm2)'!$B$2:$B$52,MATCH($C63,'hp (pSv cm2)'!$A$2:$A$52,1)+1)-INDEX('hp (pSv cm2)'!$B$2:$B$52,MATCH($C63,'hp (pSv cm2)'!$A$2:$A$52,1)))/(INDEX('hp (pSv cm2)'!$A$2:$A$52,MATCH($C63,'hp (pSv cm2)'!$A$2:$A$52,1)+1)-INDEX('hp (pSv cm2)'!$A$2:$A$52,MATCH($C63,'hp (pSv cm2)'!$A$2:$A$52,1))),$C63*'hp (pSv cm2)'!$B$2/'hp (pSv cm2)'!$A$2)</f>
        <v>2.6160800000000002</v>
      </c>
      <c r="G63" s="67">
        <f t="shared" si="3"/>
        <v>7.6912752000000007E-4</v>
      </c>
      <c r="H63" s="83">
        <f>_xlfn.IFNA(0.997*(INDEX('Mass attenuation coefficients'!$B$2:$B$37,MATCH($C63,'Mass attenuation coefficients'!$A$2:$A$37,1))+($C63-INDEX('Mass attenuation coefficients'!$A$2:$A$37,MATCH($C63,'Mass attenuation coefficients'!$A$2:$A$37,1)))*(INDEX('Mass attenuation coefficients'!$B$2:$B$37,MATCH($C63,'Mass attenuation coefficients'!$A$2:$A$37,1)+1)-INDEX('Mass attenuation coefficients'!$B$2:$B$37,MATCH($C63,'Mass attenuation coefficients'!$A$2:$A$37,1)))/(INDEX('Mass attenuation coefficients'!$A$2:$A$37,MATCH($C63,'Mass attenuation coefficients'!$A$2:$A$37,1)+1)-INDEX('Mass attenuation coefficients'!$A$2:$A$37,MATCH($C63,'Mass attenuation coefficients'!$A$2:$A$37,1)))),0.997*$C63*'Mass attenuation coefficients'!$B$2/'Mass attenuation coefficients'!$A$2)</f>
        <v>9.4159750759999994E-2</v>
      </c>
      <c r="I63" s="83">
        <f>_xlfn.IFNA(INDEX('Shultis Faw'!$C$2:$C$26,MATCH($C63,'Shultis Faw'!$A$2:$A$26,1))+($C63-INDEX('Shultis Faw'!$A$2:$A$26,MATCH($C63,'Shultis Faw'!$A$2:$A$26,1)))*(INDEX('Shultis Faw'!$C$2:$C$26,MATCH($C63,'Shultis Faw'!$A$2:$A$26,1)+1)-INDEX('Shultis Faw'!$C$2:$C$26,MATCH($C63,'Shultis Faw'!$A$2:$A$26,1)))/(INDEX('Shultis Faw'!$A$2:$A$26,MATCH($C63,'Shultis Faw'!$A$2:$A$26,1)+1)-INDEX('Shultis Faw'!$A$2:$A$26,MATCH($C63,'Shultis Faw'!$A$2:$A$26,1))),$C63*'Shultis Faw'!$C$2/'Shultis Faw'!$A$2)</f>
        <v>2.4591639999999999</v>
      </c>
      <c r="J63" s="83">
        <f>_xlfn.IFNA(INDEX('Shultis Faw'!$D$2:$D$26,MATCH($C63,'Shultis Faw'!$A$2:$A$26,1))+($C63-INDEX('Shultis Faw'!$A$2:$A$26,MATCH($C63,'Shultis Faw'!$A$2:$A$26,1)))*(INDEX('Shultis Faw'!$D$2:$D$26,MATCH($C63,'Shultis Faw'!$A$2:$A$26,1)+1)-INDEX('Shultis Faw'!$D$2:$D$26,MATCH($C63,'Shultis Faw'!$A$2:$A$26,1)))/(INDEX('Shultis Faw'!$A$2:$A$26,MATCH($C63,'Shultis Faw'!$A$2:$A$26,1)+1)-INDEX('Shultis Faw'!$A$2:$A$26,MATCH($C63,'Shultis Faw'!$A$2:$A$26,1))),$C63*'Shultis Faw'!$D$2/'Shultis Faw'!$A$2)</f>
        <v>1.7371160000000001</v>
      </c>
      <c r="K63" s="83">
        <f>_xlfn.IFNA(INDEX('Shultis Faw'!$B$2:$B$26,MATCH($C63,'Shultis Faw'!$A$2:$A$26,1))+($C63-INDEX('Shultis Faw'!$A$2:$A$26,MATCH($C63,'Shultis Faw'!$A$2:$A$26,1)))*(INDEX('Shultis Faw'!$B$2:$B$26,MATCH($C63,'Shultis Faw'!$A$2:$A$26,1)+1)-INDEX('Shultis Faw'!$B$2:$B$26,MATCH($C63,'Shultis Faw'!$A$2:$A$26,1)))/(INDEX('Shultis Faw'!$A$2:$A$26,MATCH($C63,'Shultis Faw'!$A$2:$A$26,1)+1)-INDEX('Shultis Faw'!$A$2:$A$26,MATCH($C63,'Shultis Faw'!$A$2:$A$26,1))),$C63*'Shultis Faw'!$B$2/'Shultis Faw'!$A$2)</f>
        <v>-0.13134799999999999</v>
      </c>
      <c r="L63" s="83">
        <f>_xlfn.IFNA(INDEX('Shultis Faw'!$E$2:$E$26,MATCH($C63,'Shultis Faw'!$A$2:$A$26,1))+($C63-INDEX('Shultis Faw'!$A$2:$A$26,MATCH($C63,'Shultis Faw'!$A$2:$A$26,1)))*(INDEX('Shultis Faw'!$E$2:$E$26,MATCH($C63,'Shultis Faw'!$A$2:$A$26,1)+1)-INDEX('Shultis Faw'!$E$2:$E$26,MATCH($C63,'Shultis Faw'!$A$2:$A$26,1)))/(INDEX('Shultis Faw'!$A$2:$A$26,MATCH($C63,'Shultis Faw'!$A$2:$A$26,1)+1)-INDEX('Shultis Faw'!$A$2:$A$26,MATCH($C63,'Shultis Faw'!$A$2:$A$26,1))),$C63*'Shultis Faw'!$E$2/'Shultis Faw'!$A$2)</f>
        <v>5.3172400000000002E-2</v>
      </c>
      <c r="M63" s="83">
        <f>_xlfn.IFNA(INDEX('Shultis Faw'!$F$2:$F$26,MATCH($C63,'Shultis Faw'!$A$2:$A$26,1))+($C63-INDEX('Shultis Faw'!$A$2:$A$26,MATCH($C63,'Shultis Faw'!$A$2:$A$26,1)))*(INDEX('Shultis Faw'!$F$2:$F$26,MATCH($C63,'Shultis Faw'!$A$2:$A$26,1)+1)-INDEX('Shultis Faw'!$F$2:$F$26,MATCH($C63,'Shultis Faw'!$A$2:$A$26,1)))/(INDEX('Shultis Faw'!$A$2:$A$26,MATCH($C63,'Shultis Faw'!$A$2:$A$26,1)+1)-INDEX('Shultis Faw'!$A$2:$A$26,MATCH($C63,'Shultis Faw'!$A$2:$A$26,1))),$C63*'Shultis Faw'!$F$2/'Shultis Faw'!$A$2)</f>
        <v>14.296800000000001</v>
      </c>
      <c r="N63" s="83">
        <f>J63*(H63*'Externe blootstelling'!$D$23/2)^K63+L63*(TANH(((H63*'Externe blootstelling'!$D$23)/(2*M63))-2)-TANH(-2))/(1-TANH(-2))</f>
        <v>1.6603007526244682</v>
      </c>
      <c r="O63" s="83">
        <f>IF(N63=1,1+(I63-1)*H63*'Externe blootstelling'!$D$23/2,1+(I63-1)*(N63^(H63*'Externe blootstelling'!$D$23/2)-1)/(N63-1))</f>
        <v>3.3123890180851912</v>
      </c>
      <c r="P63" s="67">
        <f>G63*EXP(-H63*'Externe blootstelling'!$D$23/2)*O63</f>
        <v>6.2050285569520381E-4</v>
      </c>
      <c r="Q63" s="68"/>
    </row>
    <row r="64" spans="1:17" x14ac:dyDescent="0.2">
      <c r="A64" s="217"/>
      <c r="B64" s="64" t="s">
        <v>104</v>
      </c>
      <c r="C64" s="65">
        <v>0.53910000000000002</v>
      </c>
      <c r="D64" s="66">
        <f t="shared" ref="D64:D95" si="4">C64*1000000*1.6E-19</f>
        <v>8.6255999999999991E-14</v>
      </c>
      <c r="E64" s="66">
        <v>2.0699999999999999E-4</v>
      </c>
      <c r="F64" s="66">
        <f>_xlfn.IFNA(INDEX('hp (pSv cm2)'!$B$2:$B$52,MATCH($C64,'hp (pSv cm2)'!$A$2:$A$52,1))+($C64-INDEX('hp (pSv cm2)'!$A$2:$A$52,MATCH($C64,'hp (pSv cm2)'!$A$2:$A$52,1)))*(INDEX('hp (pSv cm2)'!$B$2:$B$52,MATCH($C64,'hp (pSv cm2)'!$A$2:$A$52,1)+1)-INDEX('hp (pSv cm2)'!$B$2:$B$52,MATCH($C64,'hp (pSv cm2)'!$A$2:$A$52,1)))/(INDEX('hp (pSv cm2)'!$A$2:$A$52,MATCH($C64,'hp (pSv cm2)'!$A$2:$A$52,1)+1)-INDEX('hp (pSv cm2)'!$A$2:$A$52,MATCH($C64,'hp (pSv cm2)'!$A$2:$A$52,1))),$C64*'hp (pSv cm2)'!$B$2/'hp (pSv cm2)'!$A$2)</f>
        <v>2.6420400000000002</v>
      </c>
      <c r="G64" s="67">
        <f t="shared" ref="G64:G95" si="5">F64*E64</f>
        <v>5.4690228000000001E-4</v>
      </c>
      <c r="H64" s="83">
        <f>_xlfn.IFNA(0.997*(INDEX('Mass attenuation coefficients'!$B$2:$B$37,MATCH($C64,'Mass attenuation coefficients'!$A$2:$A$37,1))+($C64-INDEX('Mass attenuation coefficients'!$A$2:$A$37,MATCH($C64,'Mass attenuation coefficients'!$A$2:$A$37,1)))*(INDEX('Mass attenuation coefficients'!$B$2:$B$37,MATCH($C64,'Mass attenuation coefficients'!$A$2:$A$37,1)+1)-INDEX('Mass attenuation coefficients'!$B$2:$B$37,MATCH($C64,'Mass attenuation coefficients'!$A$2:$A$37,1)))/(INDEX('Mass attenuation coefficients'!$A$2:$A$37,MATCH($C64,'Mass attenuation coefficients'!$A$2:$A$37,1)+1)-INDEX('Mass attenuation coefficients'!$A$2:$A$37,MATCH($C64,'Mass attenuation coefficients'!$A$2:$A$37,1)))),0.997*$C64*'Mass attenuation coefficients'!$B$2/'Mass attenuation coefficients'!$A$2)</f>
        <v>9.3729754629999995E-2</v>
      </c>
      <c r="I64" s="83">
        <f>_xlfn.IFNA(INDEX('Shultis Faw'!$C$2:$C$26,MATCH($C64,'Shultis Faw'!$A$2:$A$26,1))+($C64-INDEX('Shultis Faw'!$A$2:$A$26,MATCH($C64,'Shultis Faw'!$A$2:$A$26,1)))*(INDEX('Shultis Faw'!$C$2:$C$26,MATCH($C64,'Shultis Faw'!$A$2:$A$26,1)+1)-INDEX('Shultis Faw'!$C$2:$C$26,MATCH($C64,'Shultis Faw'!$A$2:$A$26,1)))/(INDEX('Shultis Faw'!$A$2:$A$26,MATCH($C64,'Shultis Faw'!$A$2:$A$26,1)+1)-INDEX('Shultis Faw'!$A$2:$A$26,MATCH($C64,'Shultis Faw'!$A$2:$A$26,1))),$C64*'Shultis Faw'!$C$2/'Shultis Faw'!$A$2)</f>
        <v>2.4519069999999998</v>
      </c>
      <c r="J64" s="83">
        <f>_xlfn.IFNA(INDEX('Shultis Faw'!$D$2:$D$26,MATCH($C64,'Shultis Faw'!$A$2:$A$26,1))+($C64-INDEX('Shultis Faw'!$A$2:$A$26,MATCH($C64,'Shultis Faw'!$A$2:$A$26,1)))*(INDEX('Shultis Faw'!$D$2:$D$26,MATCH($C64,'Shultis Faw'!$A$2:$A$26,1)+1)-INDEX('Shultis Faw'!$D$2:$D$26,MATCH($C64,'Shultis Faw'!$A$2:$A$26,1)))/(INDEX('Shultis Faw'!$A$2:$A$26,MATCH($C64,'Shultis Faw'!$A$2:$A$26,1)+1)-INDEX('Shultis Faw'!$A$2:$A$26,MATCH($C64,'Shultis Faw'!$A$2:$A$26,1))),$C64*'Shultis Faw'!$D$2/'Shultis Faw'!$A$2)</f>
        <v>1.7319830000000001</v>
      </c>
      <c r="K64" s="83">
        <f>_xlfn.IFNA(INDEX('Shultis Faw'!$B$2:$B$26,MATCH($C64,'Shultis Faw'!$A$2:$A$26,1))+($C64-INDEX('Shultis Faw'!$A$2:$A$26,MATCH($C64,'Shultis Faw'!$A$2:$A$26,1)))*(INDEX('Shultis Faw'!$B$2:$B$26,MATCH($C64,'Shultis Faw'!$A$2:$A$26,1)+1)-INDEX('Shultis Faw'!$B$2:$B$26,MATCH($C64,'Shultis Faw'!$A$2:$A$26,1)))/(INDEX('Shultis Faw'!$A$2:$A$26,MATCH($C64,'Shultis Faw'!$A$2:$A$26,1)+1)-INDEX('Shultis Faw'!$A$2:$A$26,MATCH($C64,'Shultis Faw'!$A$2:$A$26,1))),$C64*'Shultis Faw'!$B$2/'Shultis Faw'!$A$2)</f>
        <v>-0.13069900000000001</v>
      </c>
      <c r="L64" s="83">
        <f>_xlfn.IFNA(INDEX('Shultis Faw'!$E$2:$E$26,MATCH($C64,'Shultis Faw'!$A$2:$A$26,1))+($C64-INDEX('Shultis Faw'!$A$2:$A$26,MATCH($C64,'Shultis Faw'!$A$2:$A$26,1)))*(INDEX('Shultis Faw'!$E$2:$E$26,MATCH($C64,'Shultis Faw'!$A$2:$A$26,1)+1)-INDEX('Shultis Faw'!$E$2:$E$26,MATCH($C64,'Shultis Faw'!$A$2:$A$26,1)))/(INDEX('Shultis Faw'!$A$2:$A$26,MATCH($C64,'Shultis Faw'!$A$2:$A$26,1)+1)-INDEX('Shultis Faw'!$A$2:$A$26,MATCH($C64,'Shultis Faw'!$A$2:$A$26,1))),$C64*'Shultis Faw'!$E$2/'Shultis Faw'!$A$2)</f>
        <v>5.2918699999999999E-2</v>
      </c>
      <c r="M64" s="83">
        <f>_xlfn.IFNA(INDEX('Shultis Faw'!$F$2:$F$26,MATCH($C64,'Shultis Faw'!$A$2:$A$26,1))+($C64-INDEX('Shultis Faw'!$A$2:$A$26,MATCH($C64,'Shultis Faw'!$A$2:$A$26,1)))*(INDEX('Shultis Faw'!$F$2:$F$26,MATCH($C64,'Shultis Faw'!$A$2:$A$26,1)+1)-INDEX('Shultis Faw'!$F$2:$F$26,MATCH($C64,'Shultis Faw'!$A$2:$A$26,1)))/(INDEX('Shultis Faw'!$A$2:$A$26,MATCH($C64,'Shultis Faw'!$A$2:$A$26,1)+1)-INDEX('Shultis Faw'!$A$2:$A$26,MATCH($C64,'Shultis Faw'!$A$2:$A$26,1))),$C64*'Shultis Faw'!$F$2/'Shultis Faw'!$A$2)</f>
        <v>14.290900000000001</v>
      </c>
      <c r="N64" s="83">
        <f>J64*(H64*'Externe blootstelling'!$D$23/2)^K64+L64*(TANH(((H64*'Externe blootstelling'!$D$23)/(2*M64))-2)-TANH(-2))/(1-TANH(-2))</f>
        <v>1.6567550604492147</v>
      </c>
      <c r="O64" s="83">
        <f>IF(N64=1,1+(I64-1)*H64*'Externe blootstelling'!$D$23/2,1+(I64-1)*(N64^(H64*'Externe blootstelling'!$D$23/2)-1)/(N64-1))</f>
        <v>3.2850074777413338</v>
      </c>
      <c r="P64" s="67">
        <f>G64*EXP(-H64*'Externe blootstelling'!$D$23/2)*O64</f>
        <v>4.4040411479134286E-4</v>
      </c>
      <c r="Q64" s="68"/>
    </row>
    <row r="65" spans="1:17" x14ac:dyDescent="0.2">
      <c r="A65" s="217"/>
      <c r="B65" s="64" t="s">
        <v>104</v>
      </c>
      <c r="C65" s="65">
        <v>0.54270000000000007</v>
      </c>
      <c r="D65" s="66">
        <f t="shared" si="4"/>
        <v>8.6832000000000013E-14</v>
      </c>
      <c r="E65" s="66">
        <v>2.34E-5</v>
      </c>
      <c r="F65" s="66">
        <f>_xlfn.IFNA(INDEX('hp (pSv cm2)'!$B$2:$B$52,MATCH($C65,'hp (pSv cm2)'!$A$2:$A$52,1))+($C65-INDEX('hp (pSv cm2)'!$A$2:$A$52,MATCH($C65,'hp (pSv cm2)'!$A$2:$A$52,1)))*(INDEX('hp (pSv cm2)'!$B$2:$B$52,MATCH($C65,'hp (pSv cm2)'!$A$2:$A$52,1)+1)-INDEX('hp (pSv cm2)'!$B$2:$B$52,MATCH($C65,'hp (pSv cm2)'!$A$2:$A$52,1)))/(INDEX('hp (pSv cm2)'!$A$2:$A$52,MATCH($C65,'hp (pSv cm2)'!$A$2:$A$52,1)+1)-INDEX('hp (pSv cm2)'!$A$2:$A$52,MATCH($C65,'hp (pSv cm2)'!$A$2:$A$52,1))),$C65*'hp (pSv cm2)'!$B$2/'hp (pSv cm2)'!$A$2)</f>
        <v>2.6578800000000005</v>
      </c>
      <c r="G65" s="67">
        <f t="shared" si="5"/>
        <v>6.2194392000000014E-5</v>
      </c>
      <c r="H65" s="83">
        <f>_xlfn.IFNA(0.997*(INDEX('Mass attenuation coefficients'!$B$2:$B$37,MATCH($C65,'Mass attenuation coefficients'!$A$2:$A$37,1))+($C65-INDEX('Mass attenuation coefficients'!$A$2:$A$37,MATCH($C65,'Mass attenuation coefficients'!$A$2:$A$37,1)))*(INDEX('Mass attenuation coefficients'!$B$2:$B$37,MATCH($C65,'Mass attenuation coefficients'!$A$2:$A$37,1)+1)-INDEX('Mass attenuation coefficients'!$B$2:$B$37,MATCH($C65,'Mass attenuation coefficients'!$A$2:$A$37,1)))/(INDEX('Mass attenuation coefficients'!$A$2:$A$37,MATCH($C65,'Mass attenuation coefficients'!$A$2:$A$37,1)+1)-INDEX('Mass attenuation coefficients'!$A$2:$A$37,MATCH($C65,'Mass attenuation coefficients'!$A$2:$A$37,1)))),0.997*$C65*'Mass attenuation coefficients'!$B$2/'Mass attenuation coefficients'!$A$2)</f>
        <v>9.3467384109999996E-2</v>
      </c>
      <c r="I65" s="83">
        <f>_xlfn.IFNA(INDEX('Shultis Faw'!$C$2:$C$26,MATCH($C65,'Shultis Faw'!$A$2:$A$26,1))+($C65-INDEX('Shultis Faw'!$A$2:$A$26,MATCH($C65,'Shultis Faw'!$A$2:$A$26,1)))*(INDEX('Shultis Faw'!$C$2:$C$26,MATCH($C65,'Shultis Faw'!$A$2:$A$26,1)+1)-INDEX('Shultis Faw'!$C$2:$C$26,MATCH($C65,'Shultis Faw'!$A$2:$A$26,1)))/(INDEX('Shultis Faw'!$A$2:$A$26,MATCH($C65,'Shultis Faw'!$A$2:$A$26,1)+1)-INDEX('Shultis Faw'!$A$2:$A$26,MATCH($C65,'Shultis Faw'!$A$2:$A$26,1))),$C65*'Shultis Faw'!$C$2/'Shultis Faw'!$A$2)</f>
        <v>2.447479</v>
      </c>
      <c r="J65" s="83">
        <f>_xlfn.IFNA(INDEX('Shultis Faw'!$D$2:$D$26,MATCH($C65,'Shultis Faw'!$A$2:$A$26,1))+($C65-INDEX('Shultis Faw'!$A$2:$A$26,MATCH($C65,'Shultis Faw'!$A$2:$A$26,1)))*(INDEX('Shultis Faw'!$D$2:$D$26,MATCH($C65,'Shultis Faw'!$A$2:$A$26,1)+1)-INDEX('Shultis Faw'!$D$2:$D$26,MATCH($C65,'Shultis Faw'!$A$2:$A$26,1)))/(INDEX('Shultis Faw'!$A$2:$A$26,MATCH($C65,'Shultis Faw'!$A$2:$A$26,1)+1)-INDEX('Shultis Faw'!$A$2:$A$26,MATCH($C65,'Shultis Faw'!$A$2:$A$26,1))),$C65*'Shultis Faw'!$D$2/'Shultis Faw'!$A$2)</f>
        <v>1.7288509999999999</v>
      </c>
      <c r="K65" s="83">
        <f>_xlfn.IFNA(INDEX('Shultis Faw'!$B$2:$B$26,MATCH($C65,'Shultis Faw'!$A$2:$A$26,1))+($C65-INDEX('Shultis Faw'!$A$2:$A$26,MATCH($C65,'Shultis Faw'!$A$2:$A$26,1)))*(INDEX('Shultis Faw'!$B$2:$B$26,MATCH($C65,'Shultis Faw'!$A$2:$A$26,1)+1)-INDEX('Shultis Faw'!$B$2:$B$26,MATCH($C65,'Shultis Faw'!$A$2:$A$26,1)))/(INDEX('Shultis Faw'!$A$2:$A$26,MATCH($C65,'Shultis Faw'!$A$2:$A$26,1)+1)-INDEX('Shultis Faw'!$A$2:$A$26,MATCH($C65,'Shultis Faw'!$A$2:$A$26,1))),$C65*'Shultis Faw'!$B$2/'Shultis Faw'!$A$2)</f>
        <v>-0.130303</v>
      </c>
      <c r="L65" s="83">
        <f>_xlfn.IFNA(INDEX('Shultis Faw'!$E$2:$E$26,MATCH($C65,'Shultis Faw'!$A$2:$A$26,1))+($C65-INDEX('Shultis Faw'!$A$2:$A$26,MATCH($C65,'Shultis Faw'!$A$2:$A$26,1)))*(INDEX('Shultis Faw'!$E$2:$E$26,MATCH($C65,'Shultis Faw'!$A$2:$A$26,1)+1)-INDEX('Shultis Faw'!$E$2:$E$26,MATCH($C65,'Shultis Faw'!$A$2:$A$26,1)))/(INDEX('Shultis Faw'!$A$2:$A$26,MATCH($C65,'Shultis Faw'!$A$2:$A$26,1)+1)-INDEX('Shultis Faw'!$A$2:$A$26,MATCH($C65,'Shultis Faw'!$A$2:$A$26,1))),$C65*'Shultis Faw'!$E$2/'Shultis Faw'!$A$2)</f>
        <v>5.2763899999999996E-2</v>
      </c>
      <c r="M65" s="83">
        <f>_xlfn.IFNA(INDEX('Shultis Faw'!$F$2:$F$26,MATCH($C65,'Shultis Faw'!$A$2:$A$26,1))+($C65-INDEX('Shultis Faw'!$A$2:$A$26,MATCH($C65,'Shultis Faw'!$A$2:$A$26,1)))*(INDEX('Shultis Faw'!$F$2:$F$26,MATCH($C65,'Shultis Faw'!$A$2:$A$26,1)+1)-INDEX('Shultis Faw'!$F$2:$F$26,MATCH($C65,'Shultis Faw'!$A$2:$A$26,1)))/(INDEX('Shultis Faw'!$A$2:$A$26,MATCH($C65,'Shultis Faw'!$A$2:$A$26,1)+1)-INDEX('Shultis Faw'!$A$2:$A$26,MATCH($C65,'Shultis Faw'!$A$2:$A$26,1))),$C65*'Shultis Faw'!$F$2/'Shultis Faw'!$A$2)</f>
        <v>14.2873</v>
      </c>
      <c r="N65" s="83">
        <f>J65*(H65*'Externe blootstelling'!$D$23/2)^K65+L65*(TANH(((H65*'Externe blootstelling'!$D$23)/(2*M65))-2)-TANH(-2))/(1-TANH(-2))</f>
        <v>1.6545855739343611</v>
      </c>
      <c r="O65" s="83">
        <f>IF(N65=1,1+(I65-1)*H65*'Externe blootstelling'!$D$23/2,1+(I65-1)*(N65^(H65*'Externe blootstelling'!$D$23/2)-1)/(N65-1))</f>
        <v>3.2684254799780663</v>
      </c>
      <c r="P65" s="67">
        <f>G65*EXP(-H65*'Externe blootstelling'!$D$23/2)*O65</f>
        <v>5.0026978885249983E-5</v>
      </c>
      <c r="Q65" s="68"/>
    </row>
    <row r="66" spans="1:17" x14ac:dyDescent="0.2">
      <c r="A66" s="217"/>
      <c r="B66" s="64" t="s">
        <v>104</v>
      </c>
      <c r="C66" s="65">
        <v>0.54574999999999996</v>
      </c>
      <c r="D66" s="66">
        <f t="shared" si="4"/>
        <v>8.7320000000000001E-14</v>
      </c>
      <c r="E66" s="66">
        <v>9.0000000000000002E-6</v>
      </c>
      <c r="F66" s="66">
        <f>_xlfn.IFNA(INDEX('hp (pSv cm2)'!$B$2:$B$52,MATCH($C66,'hp (pSv cm2)'!$A$2:$A$52,1))+($C66-INDEX('hp (pSv cm2)'!$A$2:$A$52,MATCH($C66,'hp (pSv cm2)'!$A$2:$A$52,1)))*(INDEX('hp (pSv cm2)'!$B$2:$B$52,MATCH($C66,'hp (pSv cm2)'!$A$2:$A$52,1)+1)-INDEX('hp (pSv cm2)'!$B$2:$B$52,MATCH($C66,'hp (pSv cm2)'!$A$2:$A$52,1)))/(INDEX('hp (pSv cm2)'!$A$2:$A$52,MATCH($C66,'hp (pSv cm2)'!$A$2:$A$52,1)+1)-INDEX('hp (pSv cm2)'!$A$2:$A$52,MATCH($C66,'hp (pSv cm2)'!$A$2:$A$52,1))),$C66*'hp (pSv cm2)'!$B$2/'hp (pSv cm2)'!$A$2)</f>
        <v>2.6713</v>
      </c>
      <c r="G66" s="67">
        <f t="shared" si="5"/>
        <v>2.4041700000000001E-5</v>
      </c>
      <c r="H66" s="83">
        <f>_xlfn.IFNA(0.997*(INDEX('Mass attenuation coefficients'!$B$2:$B$37,MATCH($C66,'Mass attenuation coefficients'!$A$2:$A$37,1))+($C66-INDEX('Mass attenuation coefficients'!$A$2:$A$37,MATCH($C66,'Mass attenuation coefficients'!$A$2:$A$37,1)))*(INDEX('Mass attenuation coefficients'!$B$2:$B$37,MATCH($C66,'Mass attenuation coefficients'!$A$2:$A$37,1)+1)-INDEX('Mass attenuation coefficients'!$B$2:$B$37,MATCH($C66,'Mass attenuation coefficients'!$A$2:$A$37,1)))/(INDEX('Mass attenuation coefficients'!$A$2:$A$37,MATCH($C66,'Mass attenuation coefficients'!$A$2:$A$37,1)+1)-INDEX('Mass attenuation coefficients'!$A$2:$A$37,MATCH($C66,'Mass attenuation coefficients'!$A$2:$A$37,1)))),0.997*$C66*'Mass attenuation coefficients'!$B$2/'Mass attenuation coefficients'!$A$2)</f>
        <v>9.3245097974999996E-2</v>
      </c>
      <c r="I66" s="83">
        <f>_xlfn.IFNA(INDEX('Shultis Faw'!$C$2:$C$26,MATCH($C66,'Shultis Faw'!$A$2:$A$26,1))+($C66-INDEX('Shultis Faw'!$A$2:$A$26,MATCH($C66,'Shultis Faw'!$A$2:$A$26,1)))*(INDEX('Shultis Faw'!$C$2:$C$26,MATCH($C66,'Shultis Faw'!$A$2:$A$26,1)+1)-INDEX('Shultis Faw'!$C$2:$C$26,MATCH($C66,'Shultis Faw'!$A$2:$A$26,1)))/(INDEX('Shultis Faw'!$A$2:$A$26,MATCH($C66,'Shultis Faw'!$A$2:$A$26,1)+1)-INDEX('Shultis Faw'!$A$2:$A$26,MATCH($C66,'Shultis Faw'!$A$2:$A$26,1))),$C66*'Shultis Faw'!$C$2/'Shultis Faw'!$A$2)</f>
        <v>2.4437275000000001</v>
      </c>
      <c r="J66" s="83">
        <f>_xlfn.IFNA(INDEX('Shultis Faw'!$D$2:$D$26,MATCH($C66,'Shultis Faw'!$A$2:$A$26,1))+($C66-INDEX('Shultis Faw'!$A$2:$A$26,MATCH($C66,'Shultis Faw'!$A$2:$A$26,1)))*(INDEX('Shultis Faw'!$D$2:$D$26,MATCH($C66,'Shultis Faw'!$A$2:$A$26,1)+1)-INDEX('Shultis Faw'!$D$2:$D$26,MATCH($C66,'Shultis Faw'!$A$2:$A$26,1)))/(INDEX('Shultis Faw'!$A$2:$A$26,MATCH($C66,'Shultis Faw'!$A$2:$A$26,1)+1)-INDEX('Shultis Faw'!$A$2:$A$26,MATCH($C66,'Shultis Faw'!$A$2:$A$26,1))),$C66*'Shultis Faw'!$D$2/'Shultis Faw'!$A$2)</f>
        <v>1.7261975000000001</v>
      </c>
      <c r="K66" s="83">
        <f>_xlfn.IFNA(INDEX('Shultis Faw'!$B$2:$B$26,MATCH($C66,'Shultis Faw'!$A$2:$A$26,1))+($C66-INDEX('Shultis Faw'!$A$2:$A$26,MATCH($C66,'Shultis Faw'!$A$2:$A$26,1)))*(INDEX('Shultis Faw'!$B$2:$B$26,MATCH($C66,'Shultis Faw'!$A$2:$A$26,1)+1)-INDEX('Shultis Faw'!$B$2:$B$26,MATCH($C66,'Shultis Faw'!$A$2:$A$26,1)))/(INDEX('Shultis Faw'!$A$2:$A$26,MATCH($C66,'Shultis Faw'!$A$2:$A$26,1)+1)-INDEX('Shultis Faw'!$A$2:$A$26,MATCH($C66,'Shultis Faw'!$A$2:$A$26,1))),$C66*'Shultis Faw'!$B$2/'Shultis Faw'!$A$2)</f>
        <v>-0.12996750000000001</v>
      </c>
      <c r="L66" s="83">
        <f>_xlfn.IFNA(INDEX('Shultis Faw'!$E$2:$E$26,MATCH($C66,'Shultis Faw'!$A$2:$A$26,1))+($C66-INDEX('Shultis Faw'!$A$2:$A$26,MATCH($C66,'Shultis Faw'!$A$2:$A$26,1)))*(INDEX('Shultis Faw'!$E$2:$E$26,MATCH($C66,'Shultis Faw'!$A$2:$A$26,1)+1)-INDEX('Shultis Faw'!$E$2:$E$26,MATCH($C66,'Shultis Faw'!$A$2:$A$26,1)))/(INDEX('Shultis Faw'!$A$2:$A$26,MATCH($C66,'Shultis Faw'!$A$2:$A$26,1)+1)-INDEX('Shultis Faw'!$A$2:$A$26,MATCH($C66,'Shultis Faw'!$A$2:$A$26,1))),$C66*'Shultis Faw'!$E$2/'Shultis Faw'!$A$2)</f>
        <v>5.2632749999999999E-2</v>
      </c>
      <c r="M66" s="83">
        <f>_xlfn.IFNA(INDEX('Shultis Faw'!$F$2:$F$26,MATCH($C66,'Shultis Faw'!$A$2:$A$26,1))+($C66-INDEX('Shultis Faw'!$A$2:$A$26,MATCH($C66,'Shultis Faw'!$A$2:$A$26,1)))*(INDEX('Shultis Faw'!$F$2:$F$26,MATCH($C66,'Shultis Faw'!$A$2:$A$26,1)+1)-INDEX('Shultis Faw'!$F$2:$F$26,MATCH($C66,'Shultis Faw'!$A$2:$A$26,1)))/(INDEX('Shultis Faw'!$A$2:$A$26,MATCH($C66,'Shultis Faw'!$A$2:$A$26,1)+1)-INDEX('Shultis Faw'!$A$2:$A$26,MATCH($C66,'Shultis Faw'!$A$2:$A$26,1))),$C66*'Shultis Faw'!$F$2/'Shultis Faw'!$A$2)</f>
        <v>14.28425</v>
      </c>
      <c r="N66" s="83">
        <f>J66*(H66*'Externe blootstelling'!$D$23/2)^K66+L66*(TANH(((H66*'Externe blootstelling'!$D$23)/(2*M66))-2)-TANH(-2))/(1-TANH(-2))</f>
        <v>1.6527439703218101</v>
      </c>
      <c r="O66" s="83">
        <f>IF(N66=1,1+(I66-1)*H66*'Externe blootstelling'!$D$23/2,1+(I66-1)*(N66^(H66*'Externe blootstelling'!$D$23/2)-1)/(N66-1))</f>
        <v>3.2544507540903362</v>
      </c>
      <c r="P66" s="67">
        <f>G66*EXP(-H66*'Externe blootstelling'!$D$23/2)*O66</f>
        <v>1.9319923618750291E-5</v>
      </c>
      <c r="Q66" s="68"/>
    </row>
    <row r="67" spans="1:17" x14ac:dyDescent="0.2">
      <c r="A67" s="217"/>
      <c r="B67" s="64" t="s">
        <v>104</v>
      </c>
      <c r="C67" s="65">
        <v>0.5549400000000001</v>
      </c>
      <c r="D67" s="66">
        <f t="shared" si="4"/>
        <v>8.879040000000001E-14</v>
      </c>
      <c r="E67" s="66">
        <v>4.7000000000000004E-5</v>
      </c>
      <c r="F67" s="66">
        <f>_xlfn.IFNA(INDEX('hp (pSv cm2)'!$B$2:$B$52,MATCH($C67,'hp (pSv cm2)'!$A$2:$A$52,1))+($C67-INDEX('hp (pSv cm2)'!$A$2:$A$52,MATCH($C67,'hp (pSv cm2)'!$A$2:$A$52,1)))*(INDEX('hp (pSv cm2)'!$B$2:$B$52,MATCH($C67,'hp (pSv cm2)'!$A$2:$A$52,1)+1)-INDEX('hp (pSv cm2)'!$B$2:$B$52,MATCH($C67,'hp (pSv cm2)'!$A$2:$A$52,1)))/(INDEX('hp (pSv cm2)'!$A$2:$A$52,MATCH($C67,'hp (pSv cm2)'!$A$2:$A$52,1)+1)-INDEX('hp (pSv cm2)'!$A$2:$A$52,MATCH($C67,'hp (pSv cm2)'!$A$2:$A$52,1))),$C67*'hp (pSv cm2)'!$B$2/'hp (pSv cm2)'!$A$2)</f>
        <v>2.7117360000000006</v>
      </c>
      <c r="G67" s="67">
        <f t="shared" si="5"/>
        <v>1.2745159200000004E-4</v>
      </c>
      <c r="H67" s="83">
        <f>_xlfn.IFNA(0.997*(INDEX('Mass attenuation coefficients'!$B$2:$B$37,MATCH($C67,'Mass attenuation coefficients'!$A$2:$A$37,1))+($C67-INDEX('Mass attenuation coefficients'!$A$2:$A$37,MATCH($C67,'Mass attenuation coefficients'!$A$2:$A$37,1)))*(INDEX('Mass attenuation coefficients'!$B$2:$B$37,MATCH($C67,'Mass attenuation coefficients'!$A$2:$A$37,1)+1)-INDEX('Mass attenuation coefficients'!$B$2:$B$37,MATCH($C67,'Mass attenuation coefficients'!$A$2:$A$37,1)))/(INDEX('Mass attenuation coefficients'!$A$2:$A$37,MATCH($C67,'Mass attenuation coefficients'!$A$2:$A$37,1)+1)-INDEX('Mass attenuation coefficients'!$A$2:$A$37,MATCH($C67,'Mass attenuation coefficients'!$A$2:$A$37,1)))),0.997*$C67*'Mass attenuation coefficients'!$B$2/'Mass attenuation coefficients'!$A$2)</f>
        <v>9.2575324341999998E-2</v>
      </c>
      <c r="I67" s="83">
        <f>_xlfn.IFNA(INDEX('Shultis Faw'!$C$2:$C$26,MATCH($C67,'Shultis Faw'!$A$2:$A$26,1))+($C67-INDEX('Shultis Faw'!$A$2:$A$26,MATCH($C67,'Shultis Faw'!$A$2:$A$26,1)))*(INDEX('Shultis Faw'!$C$2:$C$26,MATCH($C67,'Shultis Faw'!$A$2:$A$26,1)+1)-INDEX('Shultis Faw'!$C$2:$C$26,MATCH($C67,'Shultis Faw'!$A$2:$A$26,1)))/(INDEX('Shultis Faw'!$A$2:$A$26,MATCH($C67,'Shultis Faw'!$A$2:$A$26,1)+1)-INDEX('Shultis Faw'!$A$2:$A$26,MATCH($C67,'Shultis Faw'!$A$2:$A$26,1))),$C67*'Shultis Faw'!$C$2/'Shultis Faw'!$A$2)</f>
        <v>2.4324237999999996</v>
      </c>
      <c r="J67" s="83">
        <f>_xlfn.IFNA(INDEX('Shultis Faw'!$D$2:$D$26,MATCH($C67,'Shultis Faw'!$A$2:$A$26,1))+($C67-INDEX('Shultis Faw'!$A$2:$A$26,MATCH($C67,'Shultis Faw'!$A$2:$A$26,1)))*(INDEX('Shultis Faw'!$D$2:$D$26,MATCH($C67,'Shultis Faw'!$A$2:$A$26,1)+1)-INDEX('Shultis Faw'!$D$2:$D$26,MATCH($C67,'Shultis Faw'!$A$2:$A$26,1)))/(INDEX('Shultis Faw'!$A$2:$A$26,MATCH($C67,'Shultis Faw'!$A$2:$A$26,1)+1)-INDEX('Shultis Faw'!$A$2:$A$26,MATCH($C67,'Shultis Faw'!$A$2:$A$26,1))),$C67*'Shultis Faw'!$D$2/'Shultis Faw'!$A$2)</f>
        <v>1.7182021999999999</v>
      </c>
      <c r="K67" s="83">
        <f>_xlfn.IFNA(INDEX('Shultis Faw'!$B$2:$B$26,MATCH($C67,'Shultis Faw'!$A$2:$A$26,1))+($C67-INDEX('Shultis Faw'!$A$2:$A$26,MATCH($C67,'Shultis Faw'!$A$2:$A$26,1)))*(INDEX('Shultis Faw'!$B$2:$B$26,MATCH($C67,'Shultis Faw'!$A$2:$A$26,1)+1)-INDEX('Shultis Faw'!$B$2:$B$26,MATCH($C67,'Shultis Faw'!$A$2:$A$26,1)))/(INDEX('Shultis Faw'!$A$2:$A$26,MATCH($C67,'Shultis Faw'!$A$2:$A$26,1)+1)-INDEX('Shultis Faw'!$A$2:$A$26,MATCH($C67,'Shultis Faw'!$A$2:$A$26,1))),$C67*'Shultis Faw'!$B$2/'Shultis Faw'!$A$2)</f>
        <v>-0.1289566</v>
      </c>
      <c r="L67" s="83">
        <f>_xlfn.IFNA(INDEX('Shultis Faw'!$E$2:$E$26,MATCH($C67,'Shultis Faw'!$A$2:$A$26,1))+($C67-INDEX('Shultis Faw'!$A$2:$A$26,MATCH($C67,'Shultis Faw'!$A$2:$A$26,1)))*(INDEX('Shultis Faw'!$E$2:$E$26,MATCH($C67,'Shultis Faw'!$A$2:$A$26,1)+1)-INDEX('Shultis Faw'!$E$2:$E$26,MATCH($C67,'Shultis Faw'!$A$2:$A$26,1)))/(INDEX('Shultis Faw'!$A$2:$A$26,MATCH($C67,'Shultis Faw'!$A$2:$A$26,1)+1)-INDEX('Shultis Faw'!$A$2:$A$26,MATCH($C67,'Shultis Faw'!$A$2:$A$26,1))),$C67*'Shultis Faw'!$E$2/'Shultis Faw'!$A$2)</f>
        <v>5.2237579999999992E-2</v>
      </c>
      <c r="M67" s="83">
        <f>_xlfn.IFNA(INDEX('Shultis Faw'!$F$2:$F$26,MATCH($C67,'Shultis Faw'!$A$2:$A$26,1))+($C67-INDEX('Shultis Faw'!$A$2:$A$26,MATCH($C67,'Shultis Faw'!$A$2:$A$26,1)))*(INDEX('Shultis Faw'!$F$2:$F$26,MATCH($C67,'Shultis Faw'!$A$2:$A$26,1)+1)-INDEX('Shultis Faw'!$F$2:$F$26,MATCH($C67,'Shultis Faw'!$A$2:$A$26,1)))/(INDEX('Shultis Faw'!$A$2:$A$26,MATCH($C67,'Shultis Faw'!$A$2:$A$26,1)+1)-INDEX('Shultis Faw'!$A$2:$A$26,MATCH($C67,'Shultis Faw'!$A$2:$A$26,1))),$C67*'Shultis Faw'!$F$2/'Shultis Faw'!$A$2)</f>
        <v>14.27506</v>
      </c>
      <c r="N67" s="83">
        <f>J67*(H67*'Externe blootstelling'!$D$23/2)^K67+L67*(TANH(((H67*'Externe blootstelling'!$D$23)/(2*M67))-2)-TANH(-2))/(1-TANH(-2))</f>
        <v>1.6471752269558038</v>
      </c>
      <c r="O67" s="83">
        <f>IF(N67=1,1+(I67-1)*H67*'Externe blootstelling'!$D$23/2,1+(I67-1)*(N67^(H67*'Externe blootstelling'!$D$23/2)-1)/(N67-1))</f>
        <v>3.2127500966158626</v>
      </c>
      <c r="P67" s="67">
        <f>G67*EXP(-H67*'Externe blootstelling'!$D$23/2)*O67</f>
        <v>1.0212872782301108E-4</v>
      </c>
      <c r="Q67" s="68"/>
    </row>
    <row r="68" spans="1:17" x14ac:dyDescent="0.2">
      <c r="A68" s="217"/>
      <c r="B68" s="64" t="s">
        <v>104</v>
      </c>
      <c r="C68" s="65">
        <v>0.57410000000000005</v>
      </c>
      <c r="D68" s="66">
        <f t="shared" si="4"/>
        <v>9.1856E-14</v>
      </c>
      <c r="E68" s="66">
        <v>1.6000000000000001E-6</v>
      </c>
      <c r="F68" s="66">
        <f>_xlfn.IFNA(INDEX('hp (pSv cm2)'!$B$2:$B$52,MATCH($C68,'hp (pSv cm2)'!$A$2:$A$52,1))+($C68-INDEX('hp (pSv cm2)'!$A$2:$A$52,MATCH($C68,'hp (pSv cm2)'!$A$2:$A$52,1)))*(INDEX('hp (pSv cm2)'!$B$2:$B$52,MATCH($C68,'hp (pSv cm2)'!$A$2:$A$52,1)+1)-INDEX('hp (pSv cm2)'!$B$2:$B$52,MATCH($C68,'hp (pSv cm2)'!$A$2:$A$52,1)))/(INDEX('hp (pSv cm2)'!$A$2:$A$52,MATCH($C68,'hp (pSv cm2)'!$A$2:$A$52,1)+1)-INDEX('hp (pSv cm2)'!$A$2:$A$52,MATCH($C68,'hp (pSv cm2)'!$A$2:$A$52,1))),$C68*'hp (pSv cm2)'!$B$2/'hp (pSv cm2)'!$A$2)</f>
        <v>2.7960400000000005</v>
      </c>
      <c r="G68" s="67">
        <f t="shared" si="5"/>
        <v>4.4736640000000016E-6</v>
      </c>
      <c r="H68" s="83">
        <f>_xlfn.IFNA(0.997*(INDEX('Mass attenuation coefficients'!$B$2:$B$37,MATCH($C68,'Mass attenuation coefficients'!$A$2:$A$37,1))+($C68-INDEX('Mass attenuation coefficients'!$A$2:$A$37,MATCH($C68,'Mass attenuation coefficients'!$A$2:$A$37,1)))*(INDEX('Mass attenuation coefficients'!$B$2:$B$37,MATCH($C68,'Mass attenuation coefficients'!$A$2:$A$37,1)+1)-INDEX('Mass attenuation coefficients'!$B$2:$B$37,MATCH($C68,'Mass attenuation coefficients'!$A$2:$A$37,1)))/(INDEX('Mass attenuation coefficients'!$A$2:$A$37,MATCH($C68,'Mass attenuation coefficients'!$A$2:$A$37,1)+1)-INDEX('Mass attenuation coefficients'!$A$2:$A$37,MATCH($C68,'Mass attenuation coefficients'!$A$2:$A$37,1)))),0.997*$C68*'Mass attenuation coefficients'!$B$2/'Mass attenuation coefficients'!$A$2)</f>
        <v>9.1178930129999988E-2</v>
      </c>
      <c r="I68" s="83">
        <f>_xlfn.IFNA(INDEX('Shultis Faw'!$C$2:$C$26,MATCH($C68,'Shultis Faw'!$A$2:$A$26,1))+($C68-INDEX('Shultis Faw'!$A$2:$A$26,MATCH($C68,'Shultis Faw'!$A$2:$A$26,1)))*(INDEX('Shultis Faw'!$C$2:$C$26,MATCH($C68,'Shultis Faw'!$A$2:$A$26,1)+1)-INDEX('Shultis Faw'!$C$2:$C$26,MATCH($C68,'Shultis Faw'!$A$2:$A$26,1)))/(INDEX('Shultis Faw'!$A$2:$A$26,MATCH($C68,'Shultis Faw'!$A$2:$A$26,1)+1)-INDEX('Shultis Faw'!$A$2:$A$26,MATCH($C68,'Shultis Faw'!$A$2:$A$26,1))),$C68*'Shultis Faw'!$C$2/'Shultis Faw'!$A$2)</f>
        <v>2.4088569999999998</v>
      </c>
      <c r="J68" s="83">
        <f>_xlfn.IFNA(INDEX('Shultis Faw'!$D$2:$D$26,MATCH($C68,'Shultis Faw'!$A$2:$A$26,1))+($C68-INDEX('Shultis Faw'!$A$2:$A$26,MATCH($C68,'Shultis Faw'!$A$2:$A$26,1)))*(INDEX('Shultis Faw'!$D$2:$D$26,MATCH($C68,'Shultis Faw'!$A$2:$A$26,1)+1)-INDEX('Shultis Faw'!$D$2:$D$26,MATCH($C68,'Shultis Faw'!$A$2:$A$26,1)))/(INDEX('Shultis Faw'!$A$2:$A$26,MATCH($C68,'Shultis Faw'!$A$2:$A$26,1)+1)-INDEX('Shultis Faw'!$A$2:$A$26,MATCH($C68,'Shultis Faw'!$A$2:$A$26,1))),$C68*'Shultis Faw'!$D$2/'Shultis Faw'!$A$2)</f>
        <v>1.701533</v>
      </c>
      <c r="K68" s="83">
        <f>_xlfn.IFNA(INDEX('Shultis Faw'!$B$2:$B$26,MATCH($C68,'Shultis Faw'!$A$2:$A$26,1))+($C68-INDEX('Shultis Faw'!$A$2:$A$26,MATCH($C68,'Shultis Faw'!$A$2:$A$26,1)))*(INDEX('Shultis Faw'!$B$2:$B$26,MATCH($C68,'Shultis Faw'!$A$2:$A$26,1)+1)-INDEX('Shultis Faw'!$B$2:$B$26,MATCH($C68,'Shultis Faw'!$A$2:$A$26,1)))/(INDEX('Shultis Faw'!$A$2:$A$26,MATCH($C68,'Shultis Faw'!$A$2:$A$26,1)+1)-INDEX('Shultis Faw'!$A$2:$A$26,MATCH($C68,'Shultis Faw'!$A$2:$A$26,1))),$C68*'Shultis Faw'!$B$2/'Shultis Faw'!$A$2)</f>
        <v>-0.12684899999999999</v>
      </c>
      <c r="L68" s="83">
        <f>_xlfn.IFNA(INDEX('Shultis Faw'!$E$2:$E$26,MATCH($C68,'Shultis Faw'!$A$2:$A$26,1))+($C68-INDEX('Shultis Faw'!$A$2:$A$26,MATCH($C68,'Shultis Faw'!$A$2:$A$26,1)))*(INDEX('Shultis Faw'!$E$2:$E$26,MATCH($C68,'Shultis Faw'!$A$2:$A$26,1)+1)-INDEX('Shultis Faw'!$E$2:$E$26,MATCH($C68,'Shultis Faw'!$A$2:$A$26,1)))/(INDEX('Shultis Faw'!$A$2:$A$26,MATCH($C68,'Shultis Faw'!$A$2:$A$26,1)+1)-INDEX('Shultis Faw'!$A$2:$A$26,MATCH($C68,'Shultis Faw'!$A$2:$A$26,1))),$C68*'Shultis Faw'!$E$2/'Shultis Faw'!$A$2)</f>
        <v>5.1413699999999993E-2</v>
      </c>
      <c r="M68" s="83">
        <f>_xlfn.IFNA(INDEX('Shultis Faw'!$F$2:$F$26,MATCH($C68,'Shultis Faw'!$A$2:$A$26,1))+($C68-INDEX('Shultis Faw'!$A$2:$A$26,MATCH($C68,'Shultis Faw'!$A$2:$A$26,1)))*(INDEX('Shultis Faw'!$F$2:$F$26,MATCH($C68,'Shultis Faw'!$A$2:$A$26,1)+1)-INDEX('Shultis Faw'!$F$2:$F$26,MATCH($C68,'Shultis Faw'!$A$2:$A$26,1)))/(INDEX('Shultis Faw'!$A$2:$A$26,MATCH($C68,'Shultis Faw'!$A$2:$A$26,1)+1)-INDEX('Shultis Faw'!$A$2:$A$26,MATCH($C68,'Shultis Faw'!$A$2:$A$26,1))),$C68*'Shultis Faw'!$F$2/'Shultis Faw'!$A$2)</f>
        <v>14.2559</v>
      </c>
      <c r="N68" s="83">
        <f>J68*(H68*'Externe blootstelling'!$D$23/2)^K68+L68*(TANH(((H68*'Externe blootstelling'!$D$23)/(2*M68))-2)-TANH(-2))/(1-TANH(-2))</f>
        <v>1.6354695677490505</v>
      </c>
      <c r="O68" s="83">
        <f>IF(N68=1,1+(I68-1)*H68*'Externe blootstelling'!$D$23/2,1+(I68-1)*(N68^(H68*'Externe blootstelling'!$D$23/2)-1)/(N68-1))</f>
        <v>3.1277444048505894</v>
      </c>
      <c r="P68" s="67">
        <f>G68*EXP(-H68*'Externe blootstelling'!$D$23/2)*O68</f>
        <v>3.5638303770540513E-6</v>
      </c>
      <c r="Q68" s="68"/>
    </row>
    <row r="69" spans="1:17" x14ac:dyDescent="0.2">
      <c r="A69" s="217"/>
      <c r="B69" s="64" t="s">
        <v>104</v>
      </c>
      <c r="C69" s="65">
        <v>0.57874999999999999</v>
      </c>
      <c r="D69" s="66">
        <f t="shared" si="4"/>
        <v>9.2599999999999992E-14</v>
      </c>
      <c r="E69" s="66">
        <v>3.4E-5</v>
      </c>
      <c r="F69" s="66">
        <f>_xlfn.IFNA(INDEX('hp (pSv cm2)'!$B$2:$B$52,MATCH($C69,'hp (pSv cm2)'!$A$2:$A$52,1))+($C69-INDEX('hp (pSv cm2)'!$A$2:$A$52,MATCH($C69,'hp (pSv cm2)'!$A$2:$A$52,1)))*(INDEX('hp (pSv cm2)'!$B$2:$B$52,MATCH($C69,'hp (pSv cm2)'!$A$2:$A$52,1)+1)-INDEX('hp (pSv cm2)'!$B$2:$B$52,MATCH($C69,'hp (pSv cm2)'!$A$2:$A$52,1)))/(INDEX('hp (pSv cm2)'!$A$2:$A$52,MATCH($C69,'hp (pSv cm2)'!$A$2:$A$52,1)+1)-INDEX('hp (pSv cm2)'!$A$2:$A$52,MATCH($C69,'hp (pSv cm2)'!$A$2:$A$52,1))),$C69*'hp (pSv cm2)'!$B$2/'hp (pSv cm2)'!$A$2)</f>
        <v>2.8165000000000004</v>
      </c>
      <c r="G69" s="67">
        <f t="shared" si="5"/>
        <v>9.576100000000002E-5</v>
      </c>
      <c r="H69" s="83">
        <f>_xlfn.IFNA(0.997*(INDEX('Mass attenuation coefficients'!$B$2:$B$37,MATCH($C69,'Mass attenuation coefficients'!$A$2:$A$37,1))+($C69-INDEX('Mass attenuation coefficients'!$A$2:$A$37,MATCH($C69,'Mass attenuation coefficients'!$A$2:$A$37,1)))*(INDEX('Mass attenuation coefficients'!$B$2:$B$37,MATCH($C69,'Mass attenuation coefficients'!$A$2:$A$37,1)+1)-INDEX('Mass attenuation coefficients'!$B$2:$B$37,MATCH($C69,'Mass attenuation coefficients'!$A$2:$A$37,1)))/(INDEX('Mass attenuation coefficients'!$A$2:$A$37,MATCH($C69,'Mass attenuation coefficients'!$A$2:$A$37,1)+1)-INDEX('Mass attenuation coefficients'!$A$2:$A$37,MATCH($C69,'Mass attenuation coefficients'!$A$2:$A$37,1)))),0.997*$C69*'Mass attenuation coefficients'!$B$2/'Mass attenuation coefficients'!$A$2)</f>
        <v>9.0840034875000003E-2</v>
      </c>
      <c r="I69" s="83">
        <f>_xlfn.IFNA(INDEX('Shultis Faw'!$C$2:$C$26,MATCH($C69,'Shultis Faw'!$A$2:$A$26,1))+($C69-INDEX('Shultis Faw'!$A$2:$A$26,MATCH($C69,'Shultis Faw'!$A$2:$A$26,1)))*(INDEX('Shultis Faw'!$C$2:$C$26,MATCH($C69,'Shultis Faw'!$A$2:$A$26,1)+1)-INDEX('Shultis Faw'!$C$2:$C$26,MATCH($C69,'Shultis Faw'!$A$2:$A$26,1)))/(INDEX('Shultis Faw'!$A$2:$A$26,MATCH($C69,'Shultis Faw'!$A$2:$A$26,1)+1)-INDEX('Shultis Faw'!$A$2:$A$26,MATCH($C69,'Shultis Faw'!$A$2:$A$26,1))),$C69*'Shultis Faw'!$C$2/'Shultis Faw'!$A$2)</f>
        <v>2.4031374999999997</v>
      </c>
      <c r="J69" s="83">
        <f>_xlfn.IFNA(INDEX('Shultis Faw'!$D$2:$D$26,MATCH($C69,'Shultis Faw'!$A$2:$A$26,1))+($C69-INDEX('Shultis Faw'!$A$2:$A$26,MATCH($C69,'Shultis Faw'!$A$2:$A$26,1)))*(INDEX('Shultis Faw'!$D$2:$D$26,MATCH($C69,'Shultis Faw'!$A$2:$A$26,1)+1)-INDEX('Shultis Faw'!$D$2:$D$26,MATCH($C69,'Shultis Faw'!$A$2:$A$26,1)))/(INDEX('Shultis Faw'!$A$2:$A$26,MATCH($C69,'Shultis Faw'!$A$2:$A$26,1)+1)-INDEX('Shultis Faw'!$A$2:$A$26,MATCH($C69,'Shultis Faw'!$A$2:$A$26,1))),$C69*'Shultis Faw'!$D$2/'Shultis Faw'!$A$2)</f>
        <v>1.6974875</v>
      </c>
      <c r="K69" s="83">
        <f>_xlfn.IFNA(INDEX('Shultis Faw'!$B$2:$B$26,MATCH($C69,'Shultis Faw'!$A$2:$A$26,1))+($C69-INDEX('Shultis Faw'!$A$2:$A$26,MATCH($C69,'Shultis Faw'!$A$2:$A$26,1)))*(INDEX('Shultis Faw'!$B$2:$B$26,MATCH($C69,'Shultis Faw'!$A$2:$A$26,1)+1)-INDEX('Shultis Faw'!$B$2:$B$26,MATCH($C69,'Shultis Faw'!$A$2:$A$26,1)))/(INDEX('Shultis Faw'!$A$2:$A$26,MATCH($C69,'Shultis Faw'!$A$2:$A$26,1)+1)-INDEX('Shultis Faw'!$A$2:$A$26,MATCH($C69,'Shultis Faw'!$A$2:$A$26,1))),$C69*'Shultis Faw'!$B$2/'Shultis Faw'!$A$2)</f>
        <v>-0.12633749999999999</v>
      </c>
      <c r="L69" s="83">
        <f>_xlfn.IFNA(INDEX('Shultis Faw'!$E$2:$E$26,MATCH($C69,'Shultis Faw'!$A$2:$A$26,1))+($C69-INDEX('Shultis Faw'!$A$2:$A$26,MATCH($C69,'Shultis Faw'!$A$2:$A$26,1)))*(INDEX('Shultis Faw'!$E$2:$E$26,MATCH($C69,'Shultis Faw'!$A$2:$A$26,1)+1)-INDEX('Shultis Faw'!$E$2:$E$26,MATCH($C69,'Shultis Faw'!$A$2:$A$26,1)))/(INDEX('Shultis Faw'!$A$2:$A$26,MATCH($C69,'Shultis Faw'!$A$2:$A$26,1)+1)-INDEX('Shultis Faw'!$A$2:$A$26,MATCH($C69,'Shultis Faw'!$A$2:$A$26,1))),$C69*'Shultis Faw'!$E$2/'Shultis Faw'!$A$2)</f>
        <v>5.1213750000000002E-2</v>
      </c>
      <c r="M69" s="83">
        <f>_xlfn.IFNA(INDEX('Shultis Faw'!$F$2:$F$26,MATCH($C69,'Shultis Faw'!$A$2:$A$26,1))+($C69-INDEX('Shultis Faw'!$A$2:$A$26,MATCH($C69,'Shultis Faw'!$A$2:$A$26,1)))*(INDEX('Shultis Faw'!$F$2:$F$26,MATCH($C69,'Shultis Faw'!$A$2:$A$26,1)+1)-INDEX('Shultis Faw'!$F$2:$F$26,MATCH($C69,'Shultis Faw'!$A$2:$A$26,1)))/(INDEX('Shultis Faw'!$A$2:$A$26,MATCH($C69,'Shultis Faw'!$A$2:$A$26,1)+1)-INDEX('Shultis Faw'!$A$2:$A$26,MATCH($C69,'Shultis Faw'!$A$2:$A$26,1))),$C69*'Shultis Faw'!$F$2/'Shultis Faw'!$A$2)</f>
        <v>14.251250000000001</v>
      </c>
      <c r="N69" s="83">
        <f>J69*(H69*'Externe blootstelling'!$D$23/2)^K69+L69*(TANH(((H69*'Externe blootstelling'!$D$23)/(2*M69))-2)-TANH(-2))/(1-TANH(-2))</f>
        <v>1.632609212936752</v>
      </c>
      <c r="O69" s="83">
        <f>IF(N69=1,1+(I69-1)*H69*'Externe blootstelling'!$D$23/2,1+(I69-1)*(N69^(H69*'Externe blootstelling'!$D$23/2)-1)/(N69-1))</f>
        <v>3.1075022823738241</v>
      </c>
      <c r="P69" s="67">
        <f>G69*EXP(-H69*'Externe blootstelling'!$D$23/2)*O69</f>
        <v>7.6178118275804313E-5</v>
      </c>
      <c r="Q69" s="68"/>
    </row>
    <row r="70" spans="1:17" x14ac:dyDescent="0.2">
      <c r="A70" s="217"/>
      <c r="B70" s="64" t="s">
        <v>104</v>
      </c>
      <c r="C70" s="65">
        <v>0.5845499999999999</v>
      </c>
      <c r="D70" s="66">
        <f t="shared" si="4"/>
        <v>9.3527999999999975E-14</v>
      </c>
      <c r="E70" s="66">
        <v>1.0699999999999999E-5</v>
      </c>
      <c r="F70" s="66">
        <f>_xlfn.IFNA(INDEX('hp (pSv cm2)'!$B$2:$B$52,MATCH($C70,'hp (pSv cm2)'!$A$2:$A$52,1))+($C70-INDEX('hp (pSv cm2)'!$A$2:$A$52,MATCH($C70,'hp (pSv cm2)'!$A$2:$A$52,1)))*(INDEX('hp (pSv cm2)'!$B$2:$B$52,MATCH($C70,'hp (pSv cm2)'!$A$2:$A$52,1)+1)-INDEX('hp (pSv cm2)'!$B$2:$B$52,MATCH($C70,'hp (pSv cm2)'!$A$2:$A$52,1)))/(INDEX('hp (pSv cm2)'!$A$2:$A$52,MATCH($C70,'hp (pSv cm2)'!$A$2:$A$52,1)+1)-INDEX('hp (pSv cm2)'!$A$2:$A$52,MATCH($C70,'hp (pSv cm2)'!$A$2:$A$52,1))),$C70*'hp (pSv cm2)'!$B$2/'hp (pSv cm2)'!$A$2)</f>
        <v>2.8420199999999998</v>
      </c>
      <c r="G70" s="67">
        <f t="shared" si="5"/>
        <v>3.0409613999999996E-5</v>
      </c>
      <c r="H70" s="83">
        <f>_xlfn.IFNA(0.997*(INDEX('Mass attenuation coefficients'!$B$2:$B$37,MATCH($C70,'Mass attenuation coefficients'!$A$2:$A$37,1))+($C70-INDEX('Mass attenuation coefficients'!$A$2:$A$37,MATCH($C70,'Mass attenuation coefficients'!$A$2:$A$37,1)))*(INDEX('Mass attenuation coefficients'!$B$2:$B$37,MATCH($C70,'Mass attenuation coefficients'!$A$2:$A$37,1)+1)-INDEX('Mass attenuation coefficients'!$B$2:$B$37,MATCH($C70,'Mass attenuation coefficients'!$A$2:$A$37,1)))/(INDEX('Mass attenuation coefficients'!$A$2:$A$37,MATCH($C70,'Mass attenuation coefficients'!$A$2:$A$37,1)+1)-INDEX('Mass attenuation coefficients'!$A$2:$A$37,MATCH($C70,'Mass attenuation coefficients'!$A$2:$A$37,1)))),0.997*$C70*'Mass attenuation coefficients'!$B$2/'Mass attenuation coefficients'!$A$2)</f>
        <v>9.0417326815000004E-2</v>
      </c>
      <c r="I70" s="83">
        <f>_xlfn.IFNA(INDEX('Shultis Faw'!$C$2:$C$26,MATCH($C70,'Shultis Faw'!$A$2:$A$26,1))+($C70-INDEX('Shultis Faw'!$A$2:$A$26,MATCH($C70,'Shultis Faw'!$A$2:$A$26,1)))*(INDEX('Shultis Faw'!$C$2:$C$26,MATCH($C70,'Shultis Faw'!$A$2:$A$26,1)+1)-INDEX('Shultis Faw'!$C$2:$C$26,MATCH($C70,'Shultis Faw'!$A$2:$A$26,1)))/(INDEX('Shultis Faw'!$A$2:$A$26,MATCH($C70,'Shultis Faw'!$A$2:$A$26,1)+1)-INDEX('Shultis Faw'!$A$2:$A$26,MATCH($C70,'Shultis Faw'!$A$2:$A$26,1))),$C70*'Shultis Faw'!$C$2/'Shultis Faw'!$A$2)</f>
        <v>2.3960035</v>
      </c>
      <c r="J70" s="83">
        <f>_xlfn.IFNA(INDEX('Shultis Faw'!$D$2:$D$26,MATCH($C70,'Shultis Faw'!$A$2:$A$26,1))+($C70-INDEX('Shultis Faw'!$A$2:$A$26,MATCH($C70,'Shultis Faw'!$A$2:$A$26,1)))*(INDEX('Shultis Faw'!$D$2:$D$26,MATCH($C70,'Shultis Faw'!$A$2:$A$26,1)+1)-INDEX('Shultis Faw'!$D$2:$D$26,MATCH($C70,'Shultis Faw'!$A$2:$A$26,1)))/(INDEX('Shultis Faw'!$A$2:$A$26,MATCH($C70,'Shultis Faw'!$A$2:$A$26,1)+1)-INDEX('Shultis Faw'!$A$2:$A$26,MATCH($C70,'Shultis Faw'!$A$2:$A$26,1))),$C70*'Shultis Faw'!$D$2/'Shultis Faw'!$A$2)</f>
        <v>1.6924415000000002</v>
      </c>
      <c r="K70" s="83">
        <f>_xlfn.IFNA(INDEX('Shultis Faw'!$B$2:$B$26,MATCH($C70,'Shultis Faw'!$A$2:$A$26,1))+($C70-INDEX('Shultis Faw'!$A$2:$A$26,MATCH($C70,'Shultis Faw'!$A$2:$A$26,1)))*(INDEX('Shultis Faw'!$B$2:$B$26,MATCH($C70,'Shultis Faw'!$A$2:$A$26,1)+1)-INDEX('Shultis Faw'!$B$2:$B$26,MATCH($C70,'Shultis Faw'!$A$2:$A$26,1)))/(INDEX('Shultis Faw'!$A$2:$A$26,MATCH($C70,'Shultis Faw'!$A$2:$A$26,1)+1)-INDEX('Shultis Faw'!$A$2:$A$26,MATCH($C70,'Shultis Faw'!$A$2:$A$26,1))),$C70*'Shultis Faw'!$B$2/'Shultis Faw'!$A$2)</f>
        <v>-0.12569950000000002</v>
      </c>
      <c r="L70" s="83">
        <f>_xlfn.IFNA(INDEX('Shultis Faw'!$E$2:$E$26,MATCH($C70,'Shultis Faw'!$A$2:$A$26,1))+($C70-INDEX('Shultis Faw'!$A$2:$A$26,MATCH($C70,'Shultis Faw'!$A$2:$A$26,1)))*(INDEX('Shultis Faw'!$E$2:$E$26,MATCH($C70,'Shultis Faw'!$A$2:$A$26,1)+1)-INDEX('Shultis Faw'!$E$2:$E$26,MATCH($C70,'Shultis Faw'!$A$2:$A$26,1)))/(INDEX('Shultis Faw'!$A$2:$A$26,MATCH($C70,'Shultis Faw'!$A$2:$A$26,1)+1)-INDEX('Shultis Faw'!$A$2:$A$26,MATCH($C70,'Shultis Faw'!$A$2:$A$26,1))),$C70*'Shultis Faw'!$E$2/'Shultis Faw'!$A$2)</f>
        <v>5.0964349999999999E-2</v>
      </c>
      <c r="M70" s="83">
        <f>_xlfn.IFNA(INDEX('Shultis Faw'!$F$2:$F$26,MATCH($C70,'Shultis Faw'!$A$2:$A$26,1))+($C70-INDEX('Shultis Faw'!$A$2:$A$26,MATCH($C70,'Shultis Faw'!$A$2:$A$26,1)))*(INDEX('Shultis Faw'!$F$2:$F$26,MATCH($C70,'Shultis Faw'!$A$2:$A$26,1)+1)-INDEX('Shultis Faw'!$F$2:$F$26,MATCH($C70,'Shultis Faw'!$A$2:$A$26,1)))/(INDEX('Shultis Faw'!$A$2:$A$26,MATCH($C70,'Shultis Faw'!$A$2:$A$26,1)+1)-INDEX('Shultis Faw'!$A$2:$A$26,MATCH($C70,'Shultis Faw'!$A$2:$A$26,1))),$C70*'Shultis Faw'!$F$2/'Shultis Faw'!$A$2)</f>
        <v>14.24545</v>
      </c>
      <c r="N70" s="83">
        <f>J70*(H70*'Externe blootstelling'!$D$23/2)^K70+L70*(TANH(((H70*'Externe blootstelling'!$D$23)/(2*M70))-2)-TANH(-2))/(1-TANH(-2))</f>
        <v>1.6290307987510548</v>
      </c>
      <c r="O70" s="83">
        <f>IF(N70=1,1+(I70-1)*H70*'Externe blootstelling'!$D$23/2,1+(I70-1)*(N70^(H70*'Externe blootstelling'!$D$23/2)-1)/(N70-1))</f>
        <v>3.0824635257610487</v>
      </c>
      <c r="P70" s="67">
        <f>G70*EXP(-H70*'Externe blootstelling'!$D$23/2)*O70</f>
        <v>2.4148639171292564E-5</v>
      </c>
      <c r="Q70" s="68"/>
    </row>
    <row r="71" spans="1:17" x14ac:dyDescent="0.2">
      <c r="A71" s="217"/>
      <c r="B71" s="64" t="s">
        <v>104</v>
      </c>
      <c r="C71" s="65">
        <v>0.58760000000000001</v>
      </c>
      <c r="D71" s="66">
        <f t="shared" si="4"/>
        <v>9.4016E-14</v>
      </c>
      <c r="E71" s="66">
        <v>4.7999999999999998E-6</v>
      </c>
      <c r="F71" s="66">
        <f>_xlfn.IFNA(INDEX('hp (pSv cm2)'!$B$2:$B$52,MATCH($C71,'hp (pSv cm2)'!$A$2:$A$52,1))+($C71-INDEX('hp (pSv cm2)'!$A$2:$A$52,MATCH($C71,'hp (pSv cm2)'!$A$2:$A$52,1)))*(INDEX('hp (pSv cm2)'!$B$2:$B$52,MATCH($C71,'hp (pSv cm2)'!$A$2:$A$52,1)+1)-INDEX('hp (pSv cm2)'!$B$2:$B$52,MATCH($C71,'hp (pSv cm2)'!$A$2:$A$52,1)))/(INDEX('hp (pSv cm2)'!$A$2:$A$52,MATCH($C71,'hp (pSv cm2)'!$A$2:$A$52,1)+1)-INDEX('hp (pSv cm2)'!$A$2:$A$52,MATCH($C71,'hp (pSv cm2)'!$A$2:$A$52,1))),$C71*'hp (pSv cm2)'!$B$2/'hp (pSv cm2)'!$A$2)</f>
        <v>2.8554400000000002</v>
      </c>
      <c r="G71" s="67">
        <f t="shared" si="5"/>
        <v>1.3706112E-5</v>
      </c>
      <c r="H71" s="83">
        <f>_xlfn.IFNA(0.997*(INDEX('Mass attenuation coefficients'!$B$2:$B$37,MATCH($C71,'Mass attenuation coefficients'!$A$2:$A$37,1))+($C71-INDEX('Mass attenuation coefficients'!$A$2:$A$37,MATCH($C71,'Mass attenuation coefficients'!$A$2:$A$37,1)))*(INDEX('Mass attenuation coefficients'!$B$2:$B$37,MATCH($C71,'Mass attenuation coefficients'!$A$2:$A$37,1)+1)-INDEX('Mass attenuation coefficients'!$B$2:$B$37,MATCH($C71,'Mass attenuation coefficients'!$A$2:$A$37,1)))/(INDEX('Mass attenuation coefficients'!$A$2:$A$37,MATCH($C71,'Mass attenuation coefficients'!$A$2:$A$37,1)+1)-INDEX('Mass attenuation coefficients'!$A$2:$A$37,MATCH($C71,'Mass attenuation coefficients'!$A$2:$A$37,1)))),0.997*$C71*'Mass attenuation coefficients'!$B$2/'Mass attenuation coefficients'!$A$2)</f>
        <v>9.0195040679999991E-2</v>
      </c>
      <c r="I71" s="83">
        <f>_xlfn.IFNA(INDEX('Shultis Faw'!$C$2:$C$26,MATCH($C71,'Shultis Faw'!$A$2:$A$26,1))+($C71-INDEX('Shultis Faw'!$A$2:$A$26,MATCH($C71,'Shultis Faw'!$A$2:$A$26,1)))*(INDEX('Shultis Faw'!$C$2:$C$26,MATCH($C71,'Shultis Faw'!$A$2:$A$26,1)+1)-INDEX('Shultis Faw'!$C$2:$C$26,MATCH($C71,'Shultis Faw'!$A$2:$A$26,1)))/(INDEX('Shultis Faw'!$A$2:$A$26,MATCH($C71,'Shultis Faw'!$A$2:$A$26,1)+1)-INDEX('Shultis Faw'!$A$2:$A$26,MATCH($C71,'Shultis Faw'!$A$2:$A$26,1))),$C71*'Shultis Faw'!$C$2/'Shultis Faw'!$A$2)</f>
        <v>2.3922519999999996</v>
      </c>
      <c r="J71" s="83">
        <f>_xlfn.IFNA(INDEX('Shultis Faw'!$D$2:$D$26,MATCH($C71,'Shultis Faw'!$A$2:$A$26,1))+($C71-INDEX('Shultis Faw'!$A$2:$A$26,MATCH($C71,'Shultis Faw'!$A$2:$A$26,1)))*(INDEX('Shultis Faw'!$D$2:$D$26,MATCH($C71,'Shultis Faw'!$A$2:$A$26,1)+1)-INDEX('Shultis Faw'!$D$2:$D$26,MATCH($C71,'Shultis Faw'!$A$2:$A$26,1)))/(INDEX('Shultis Faw'!$A$2:$A$26,MATCH($C71,'Shultis Faw'!$A$2:$A$26,1)+1)-INDEX('Shultis Faw'!$A$2:$A$26,MATCH($C71,'Shultis Faw'!$A$2:$A$26,1))),$C71*'Shultis Faw'!$D$2/'Shultis Faw'!$A$2)</f>
        <v>1.6897880000000001</v>
      </c>
      <c r="K71" s="83">
        <f>_xlfn.IFNA(INDEX('Shultis Faw'!$B$2:$B$26,MATCH($C71,'Shultis Faw'!$A$2:$A$26,1))+($C71-INDEX('Shultis Faw'!$A$2:$A$26,MATCH($C71,'Shultis Faw'!$A$2:$A$26,1)))*(INDEX('Shultis Faw'!$B$2:$B$26,MATCH($C71,'Shultis Faw'!$A$2:$A$26,1)+1)-INDEX('Shultis Faw'!$B$2:$B$26,MATCH($C71,'Shultis Faw'!$A$2:$A$26,1)))/(INDEX('Shultis Faw'!$A$2:$A$26,MATCH($C71,'Shultis Faw'!$A$2:$A$26,1)+1)-INDEX('Shultis Faw'!$A$2:$A$26,MATCH($C71,'Shultis Faw'!$A$2:$A$26,1))),$C71*'Shultis Faw'!$B$2/'Shultis Faw'!$A$2)</f>
        <v>-0.125364</v>
      </c>
      <c r="L71" s="83">
        <f>_xlfn.IFNA(INDEX('Shultis Faw'!$E$2:$E$26,MATCH($C71,'Shultis Faw'!$A$2:$A$26,1))+($C71-INDEX('Shultis Faw'!$A$2:$A$26,MATCH($C71,'Shultis Faw'!$A$2:$A$26,1)))*(INDEX('Shultis Faw'!$E$2:$E$26,MATCH($C71,'Shultis Faw'!$A$2:$A$26,1)+1)-INDEX('Shultis Faw'!$E$2:$E$26,MATCH($C71,'Shultis Faw'!$A$2:$A$26,1)))/(INDEX('Shultis Faw'!$A$2:$A$26,MATCH($C71,'Shultis Faw'!$A$2:$A$26,1)+1)-INDEX('Shultis Faw'!$A$2:$A$26,MATCH($C71,'Shultis Faw'!$A$2:$A$26,1))),$C71*'Shultis Faw'!$E$2/'Shultis Faw'!$A$2)</f>
        <v>5.0833199999999995E-2</v>
      </c>
      <c r="M71" s="83">
        <f>_xlfn.IFNA(INDEX('Shultis Faw'!$F$2:$F$26,MATCH($C71,'Shultis Faw'!$A$2:$A$26,1))+($C71-INDEX('Shultis Faw'!$A$2:$A$26,MATCH($C71,'Shultis Faw'!$A$2:$A$26,1)))*(INDEX('Shultis Faw'!$F$2:$F$26,MATCH($C71,'Shultis Faw'!$A$2:$A$26,1)+1)-INDEX('Shultis Faw'!$F$2:$F$26,MATCH($C71,'Shultis Faw'!$A$2:$A$26,1)))/(INDEX('Shultis Faw'!$A$2:$A$26,MATCH($C71,'Shultis Faw'!$A$2:$A$26,1)+1)-INDEX('Shultis Faw'!$A$2:$A$26,MATCH($C71,'Shultis Faw'!$A$2:$A$26,1))),$C71*'Shultis Faw'!$F$2/'Shultis Faw'!$A$2)</f>
        <v>14.2424</v>
      </c>
      <c r="N71" s="83">
        <f>J71*(H71*'Externe blootstelling'!$D$23/2)^K71+L71*(TANH(((H71*'Externe blootstelling'!$D$23)/(2*M71))-2)-TANH(-2))/(1-TANH(-2))</f>
        <v>1.6271442991768481</v>
      </c>
      <c r="O71" s="83">
        <f>IF(N71=1,1+(I71-1)*H71*'Externe blootstelling'!$D$23/2,1+(I71-1)*(N71^(H71*'Externe blootstelling'!$D$23/2)-1)/(N71-1))</f>
        <v>3.0693892800492253</v>
      </c>
      <c r="P71" s="67">
        <f>G71*EXP(-H71*'Externe blootstelling'!$D$23/2)*O71</f>
        <v>1.0874220157664685E-5</v>
      </c>
      <c r="Q71" s="68"/>
    </row>
    <row r="72" spans="1:17" x14ac:dyDescent="0.2">
      <c r="A72" s="217"/>
      <c r="B72" s="64" t="s">
        <v>104</v>
      </c>
      <c r="C72" s="65">
        <v>0.59096000000000004</v>
      </c>
      <c r="D72" s="66">
        <f t="shared" si="4"/>
        <v>9.4553599999999994E-14</v>
      </c>
      <c r="E72" s="66">
        <v>1.22E-5</v>
      </c>
      <c r="F72" s="66">
        <f>_xlfn.IFNA(INDEX('hp (pSv cm2)'!$B$2:$B$52,MATCH($C72,'hp (pSv cm2)'!$A$2:$A$52,1))+($C72-INDEX('hp (pSv cm2)'!$A$2:$A$52,MATCH($C72,'hp (pSv cm2)'!$A$2:$A$52,1)))*(INDEX('hp (pSv cm2)'!$B$2:$B$52,MATCH($C72,'hp (pSv cm2)'!$A$2:$A$52,1)+1)-INDEX('hp (pSv cm2)'!$B$2:$B$52,MATCH($C72,'hp (pSv cm2)'!$A$2:$A$52,1)))/(INDEX('hp (pSv cm2)'!$A$2:$A$52,MATCH($C72,'hp (pSv cm2)'!$A$2:$A$52,1)+1)-INDEX('hp (pSv cm2)'!$A$2:$A$52,MATCH($C72,'hp (pSv cm2)'!$A$2:$A$52,1))),$C72*'hp (pSv cm2)'!$B$2/'hp (pSv cm2)'!$A$2)</f>
        <v>2.8702240000000003</v>
      </c>
      <c r="G72" s="67">
        <f t="shared" si="5"/>
        <v>3.5016732800000007E-5</v>
      </c>
      <c r="H72" s="83">
        <f>_xlfn.IFNA(0.997*(INDEX('Mass attenuation coefficients'!$B$2:$B$37,MATCH($C72,'Mass attenuation coefficients'!$A$2:$A$37,1))+($C72-INDEX('Mass attenuation coefficients'!$A$2:$A$37,MATCH($C72,'Mass attenuation coefficients'!$A$2:$A$37,1)))*(INDEX('Mass attenuation coefficients'!$B$2:$B$37,MATCH($C72,'Mass attenuation coefficients'!$A$2:$A$37,1)+1)-INDEX('Mass attenuation coefficients'!$B$2:$B$37,MATCH($C72,'Mass attenuation coefficients'!$A$2:$A$37,1)))/(INDEX('Mass attenuation coefficients'!$A$2:$A$37,MATCH($C72,'Mass attenuation coefficients'!$A$2:$A$37,1)+1)-INDEX('Mass attenuation coefficients'!$A$2:$A$37,MATCH($C72,'Mass attenuation coefficients'!$A$2:$A$37,1)))),0.997*$C72*'Mass attenuation coefficients'!$B$2/'Mass attenuation coefficients'!$A$2)</f>
        <v>8.9950161527999992E-2</v>
      </c>
      <c r="I72" s="83">
        <f>_xlfn.IFNA(INDEX('Shultis Faw'!$C$2:$C$26,MATCH($C72,'Shultis Faw'!$A$2:$A$26,1))+($C72-INDEX('Shultis Faw'!$A$2:$A$26,MATCH($C72,'Shultis Faw'!$A$2:$A$26,1)))*(INDEX('Shultis Faw'!$C$2:$C$26,MATCH($C72,'Shultis Faw'!$A$2:$A$26,1)+1)-INDEX('Shultis Faw'!$C$2:$C$26,MATCH($C72,'Shultis Faw'!$A$2:$A$26,1)))/(INDEX('Shultis Faw'!$A$2:$A$26,MATCH($C72,'Shultis Faw'!$A$2:$A$26,1)+1)-INDEX('Shultis Faw'!$A$2:$A$26,MATCH($C72,'Shultis Faw'!$A$2:$A$26,1))),$C72*'Shultis Faw'!$C$2/'Shultis Faw'!$A$2)</f>
        <v>2.3881191999999998</v>
      </c>
      <c r="J72" s="83">
        <f>_xlfn.IFNA(INDEX('Shultis Faw'!$D$2:$D$26,MATCH($C72,'Shultis Faw'!$A$2:$A$26,1))+($C72-INDEX('Shultis Faw'!$A$2:$A$26,MATCH($C72,'Shultis Faw'!$A$2:$A$26,1)))*(INDEX('Shultis Faw'!$D$2:$D$26,MATCH($C72,'Shultis Faw'!$A$2:$A$26,1)+1)-INDEX('Shultis Faw'!$D$2:$D$26,MATCH($C72,'Shultis Faw'!$A$2:$A$26,1)))/(INDEX('Shultis Faw'!$A$2:$A$26,MATCH($C72,'Shultis Faw'!$A$2:$A$26,1)+1)-INDEX('Shultis Faw'!$A$2:$A$26,MATCH($C72,'Shultis Faw'!$A$2:$A$26,1))),$C72*'Shultis Faw'!$D$2/'Shultis Faw'!$A$2)</f>
        <v>1.6868647999999999</v>
      </c>
      <c r="K72" s="83">
        <f>_xlfn.IFNA(INDEX('Shultis Faw'!$B$2:$B$26,MATCH($C72,'Shultis Faw'!$A$2:$A$26,1))+($C72-INDEX('Shultis Faw'!$A$2:$A$26,MATCH($C72,'Shultis Faw'!$A$2:$A$26,1)))*(INDEX('Shultis Faw'!$B$2:$B$26,MATCH($C72,'Shultis Faw'!$A$2:$A$26,1)+1)-INDEX('Shultis Faw'!$B$2:$B$26,MATCH($C72,'Shultis Faw'!$A$2:$A$26,1)))/(INDEX('Shultis Faw'!$A$2:$A$26,MATCH($C72,'Shultis Faw'!$A$2:$A$26,1)+1)-INDEX('Shultis Faw'!$A$2:$A$26,MATCH($C72,'Shultis Faw'!$A$2:$A$26,1))),$C72*'Shultis Faw'!$B$2/'Shultis Faw'!$A$2)</f>
        <v>-0.12499439999999999</v>
      </c>
      <c r="L72" s="83">
        <f>_xlfn.IFNA(INDEX('Shultis Faw'!$E$2:$E$26,MATCH($C72,'Shultis Faw'!$A$2:$A$26,1))+($C72-INDEX('Shultis Faw'!$A$2:$A$26,MATCH($C72,'Shultis Faw'!$A$2:$A$26,1)))*(INDEX('Shultis Faw'!$E$2:$E$26,MATCH($C72,'Shultis Faw'!$A$2:$A$26,1)+1)-INDEX('Shultis Faw'!$E$2:$E$26,MATCH($C72,'Shultis Faw'!$A$2:$A$26,1)))/(INDEX('Shultis Faw'!$A$2:$A$26,MATCH($C72,'Shultis Faw'!$A$2:$A$26,1)+1)-INDEX('Shultis Faw'!$A$2:$A$26,MATCH($C72,'Shultis Faw'!$A$2:$A$26,1))),$C72*'Shultis Faw'!$E$2/'Shultis Faw'!$A$2)</f>
        <v>5.0688719999999993E-2</v>
      </c>
      <c r="M72" s="83">
        <f>_xlfn.IFNA(INDEX('Shultis Faw'!$F$2:$F$26,MATCH($C72,'Shultis Faw'!$A$2:$A$26,1))+($C72-INDEX('Shultis Faw'!$A$2:$A$26,MATCH($C72,'Shultis Faw'!$A$2:$A$26,1)))*(INDEX('Shultis Faw'!$F$2:$F$26,MATCH($C72,'Shultis Faw'!$A$2:$A$26,1)+1)-INDEX('Shultis Faw'!$F$2:$F$26,MATCH($C72,'Shultis Faw'!$A$2:$A$26,1)))/(INDEX('Shultis Faw'!$A$2:$A$26,MATCH($C72,'Shultis Faw'!$A$2:$A$26,1)+1)-INDEX('Shultis Faw'!$A$2:$A$26,MATCH($C72,'Shultis Faw'!$A$2:$A$26,1))),$C72*'Shultis Faw'!$F$2/'Shultis Faw'!$A$2)</f>
        <v>14.239040000000001</v>
      </c>
      <c r="N72" s="83">
        <f>J72*(H72*'Externe blootstelling'!$D$23/2)^K72+L72*(TANH(((H72*'Externe blootstelling'!$D$23)/(2*M72))-2)-TANH(-2))/(1-TANH(-2))</f>
        <v>1.6250622691530012</v>
      </c>
      <c r="O72" s="83">
        <f>IF(N72=1,1+(I72-1)*H72*'Externe blootstelling'!$D$23/2,1+(I72-1)*(N72^(H72*'Externe blootstelling'!$D$23/2)-1)/(N72-1))</f>
        <v>3.0550596976993227</v>
      </c>
      <c r="P72" s="67">
        <f>G72*EXP(-H72*'Externe blootstelling'!$D$23/2)*O72</f>
        <v>2.7753799166986866E-5</v>
      </c>
      <c r="Q72" s="68"/>
    </row>
    <row r="73" spans="1:17" x14ac:dyDescent="0.2">
      <c r="A73" s="217"/>
      <c r="B73" s="64" t="s">
        <v>104</v>
      </c>
      <c r="C73" s="65">
        <v>0.59670000000000001</v>
      </c>
      <c r="D73" s="66">
        <f t="shared" si="4"/>
        <v>9.5471999999999989E-14</v>
      </c>
      <c r="E73" s="66">
        <v>9.9000000000000008E-5</v>
      </c>
      <c r="F73" s="66">
        <f>_xlfn.IFNA(INDEX('hp (pSv cm2)'!$B$2:$B$52,MATCH($C73,'hp (pSv cm2)'!$A$2:$A$52,1))+($C73-INDEX('hp (pSv cm2)'!$A$2:$A$52,MATCH($C73,'hp (pSv cm2)'!$A$2:$A$52,1)))*(INDEX('hp (pSv cm2)'!$B$2:$B$52,MATCH($C73,'hp (pSv cm2)'!$A$2:$A$52,1)+1)-INDEX('hp (pSv cm2)'!$B$2:$B$52,MATCH($C73,'hp (pSv cm2)'!$A$2:$A$52,1)))/(INDEX('hp (pSv cm2)'!$A$2:$A$52,MATCH($C73,'hp (pSv cm2)'!$A$2:$A$52,1)+1)-INDEX('hp (pSv cm2)'!$A$2:$A$52,MATCH($C73,'hp (pSv cm2)'!$A$2:$A$52,1))),$C73*'hp (pSv cm2)'!$B$2/'hp (pSv cm2)'!$A$2)</f>
        <v>2.8954800000000001</v>
      </c>
      <c r="G73" s="67">
        <f t="shared" si="5"/>
        <v>2.8665252000000002E-4</v>
      </c>
      <c r="H73" s="83">
        <f>_xlfn.IFNA(0.997*(INDEX('Mass attenuation coefficients'!$B$2:$B$37,MATCH($C73,'Mass attenuation coefficients'!$A$2:$A$37,1))+($C73-INDEX('Mass attenuation coefficients'!$A$2:$A$37,MATCH($C73,'Mass attenuation coefficients'!$A$2:$A$37,1)))*(INDEX('Mass attenuation coefficients'!$B$2:$B$37,MATCH($C73,'Mass attenuation coefficients'!$A$2:$A$37,1)+1)-INDEX('Mass attenuation coefficients'!$B$2:$B$37,MATCH($C73,'Mass attenuation coefficients'!$A$2:$A$37,1)))/(INDEX('Mass attenuation coefficients'!$A$2:$A$37,MATCH($C73,'Mass attenuation coefficients'!$A$2:$A$37,1)+1)-INDEX('Mass attenuation coefficients'!$A$2:$A$37,MATCH($C73,'Mass attenuation coefficients'!$A$2:$A$37,1)))),0.997*$C73*'Mass attenuation coefficients'!$B$2/'Mass attenuation coefficients'!$A$2)</f>
        <v>8.9531826309999993E-2</v>
      </c>
      <c r="I73" s="83">
        <f>_xlfn.IFNA(INDEX('Shultis Faw'!$C$2:$C$26,MATCH($C73,'Shultis Faw'!$A$2:$A$26,1))+($C73-INDEX('Shultis Faw'!$A$2:$A$26,MATCH($C73,'Shultis Faw'!$A$2:$A$26,1)))*(INDEX('Shultis Faw'!$C$2:$C$26,MATCH($C73,'Shultis Faw'!$A$2:$A$26,1)+1)-INDEX('Shultis Faw'!$C$2:$C$26,MATCH($C73,'Shultis Faw'!$A$2:$A$26,1)))/(INDEX('Shultis Faw'!$A$2:$A$26,MATCH($C73,'Shultis Faw'!$A$2:$A$26,1)+1)-INDEX('Shultis Faw'!$A$2:$A$26,MATCH($C73,'Shultis Faw'!$A$2:$A$26,1))),$C73*'Shultis Faw'!$C$2/'Shultis Faw'!$A$2)</f>
        <v>2.3810589999999996</v>
      </c>
      <c r="J73" s="83">
        <f>_xlfn.IFNA(INDEX('Shultis Faw'!$D$2:$D$26,MATCH($C73,'Shultis Faw'!$A$2:$A$26,1))+($C73-INDEX('Shultis Faw'!$A$2:$A$26,MATCH($C73,'Shultis Faw'!$A$2:$A$26,1)))*(INDEX('Shultis Faw'!$D$2:$D$26,MATCH($C73,'Shultis Faw'!$A$2:$A$26,1)+1)-INDEX('Shultis Faw'!$D$2:$D$26,MATCH($C73,'Shultis Faw'!$A$2:$A$26,1)))/(INDEX('Shultis Faw'!$A$2:$A$26,MATCH($C73,'Shultis Faw'!$A$2:$A$26,1)+1)-INDEX('Shultis Faw'!$A$2:$A$26,MATCH($C73,'Shultis Faw'!$A$2:$A$26,1))),$C73*'Shultis Faw'!$D$2/'Shultis Faw'!$A$2)</f>
        <v>1.6818710000000001</v>
      </c>
      <c r="K73" s="83">
        <f>_xlfn.IFNA(INDEX('Shultis Faw'!$B$2:$B$26,MATCH($C73,'Shultis Faw'!$A$2:$A$26,1))+($C73-INDEX('Shultis Faw'!$A$2:$A$26,MATCH($C73,'Shultis Faw'!$A$2:$A$26,1)))*(INDEX('Shultis Faw'!$B$2:$B$26,MATCH($C73,'Shultis Faw'!$A$2:$A$26,1)+1)-INDEX('Shultis Faw'!$B$2:$B$26,MATCH($C73,'Shultis Faw'!$A$2:$A$26,1)))/(INDEX('Shultis Faw'!$A$2:$A$26,MATCH($C73,'Shultis Faw'!$A$2:$A$26,1)+1)-INDEX('Shultis Faw'!$A$2:$A$26,MATCH($C73,'Shultis Faw'!$A$2:$A$26,1))),$C73*'Shultis Faw'!$B$2/'Shultis Faw'!$A$2)</f>
        <v>-0.124363</v>
      </c>
      <c r="L73" s="83">
        <f>_xlfn.IFNA(INDEX('Shultis Faw'!$E$2:$E$26,MATCH($C73,'Shultis Faw'!$A$2:$A$26,1))+($C73-INDEX('Shultis Faw'!$A$2:$A$26,MATCH($C73,'Shultis Faw'!$A$2:$A$26,1)))*(INDEX('Shultis Faw'!$E$2:$E$26,MATCH($C73,'Shultis Faw'!$A$2:$A$26,1)+1)-INDEX('Shultis Faw'!$E$2:$E$26,MATCH($C73,'Shultis Faw'!$A$2:$A$26,1)))/(INDEX('Shultis Faw'!$A$2:$A$26,MATCH($C73,'Shultis Faw'!$A$2:$A$26,1)+1)-INDEX('Shultis Faw'!$A$2:$A$26,MATCH($C73,'Shultis Faw'!$A$2:$A$26,1))),$C73*'Shultis Faw'!$E$2/'Shultis Faw'!$A$2)</f>
        <v>5.0441899999999998E-2</v>
      </c>
      <c r="M73" s="83">
        <f>_xlfn.IFNA(INDEX('Shultis Faw'!$F$2:$F$26,MATCH($C73,'Shultis Faw'!$A$2:$A$26,1))+($C73-INDEX('Shultis Faw'!$A$2:$A$26,MATCH($C73,'Shultis Faw'!$A$2:$A$26,1)))*(INDEX('Shultis Faw'!$F$2:$F$26,MATCH($C73,'Shultis Faw'!$A$2:$A$26,1)+1)-INDEX('Shultis Faw'!$F$2:$F$26,MATCH($C73,'Shultis Faw'!$A$2:$A$26,1)))/(INDEX('Shultis Faw'!$A$2:$A$26,MATCH($C73,'Shultis Faw'!$A$2:$A$26,1)+1)-INDEX('Shultis Faw'!$A$2:$A$26,MATCH($C73,'Shultis Faw'!$A$2:$A$26,1))),$C73*'Shultis Faw'!$F$2/'Shultis Faw'!$A$2)</f>
        <v>14.2333</v>
      </c>
      <c r="N73" s="83">
        <f>J73*(H73*'Externe blootstelling'!$D$23/2)^K73+L73*(TANH(((H73*'Externe blootstelling'!$D$23)/(2*M73))-2)-TANH(-2))/(1-TANH(-2))</f>
        <v>1.6214962814971157</v>
      </c>
      <c r="O73" s="83">
        <f>IF(N73=1,1+(I73-1)*H73*'Externe blootstelling'!$D$23/2,1+(I73-1)*(N73^(H73*'Externe blootstelling'!$D$23/2)-1)/(N73-1))</f>
        <v>3.0307572593155818</v>
      </c>
      <c r="P73" s="67">
        <f>G73*EXP(-H73*'Externe blootstelling'!$D$23/2)*O73</f>
        <v>2.2680845818368679E-4</v>
      </c>
      <c r="Q73" s="68"/>
    </row>
    <row r="74" spans="1:17" x14ac:dyDescent="0.2">
      <c r="A74" s="217"/>
      <c r="B74" s="64" t="s">
        <v>104</v>
      </c>
      <c r="C74" s="65">
        <v>0.59829999999999994</v>
      </c>
      <c r="D74" s="66">
        <f t="shared" si="4"/>
        <v>9.5727999999999994E-14</v>
      </c>
      <c r="E74" s="66">
        <v>2.0000000000000002E-5</v>
      </c>
      <c r="F74" s="66">
        <f>_xlfn.IFNA(INDEX('hp (pSv cm2)'!$B$2:$B$52,MATCH($C74,'hp (pSv cm2)'!$A$2:$A$52,1))+($C74-INDEX('hp (pSv cm2)'!$A$2:$A$52,MATCH($C74,'hp (pSv cm2)'!$A$2:$A$52,1)))*(INDEX('hp (pSv cm2)'!$B$2:$B$52,MATCH($C74,'hp (pSv cm2)'!$A$2:$A$52,1)+1)-INDEX('hp (pSv cm2)'!$B$2:$B$52,MATCH($C74,'hp (pSv cm2)'!$A$2:$A$52,1)))/(INDEX('hp (pSv cm2)'!$A$2:$A$52,MATCH($C74,'hp (pSv cm2)'!$A$2:$A$52,1)+1)-INDEX('hp (pSv cm2)'!$A$2:$A$52,MATCH($C74,'hp (pSv cm2)'!$A$2:$A$52,1))),$C74*'hp (pSv cm2)'!$B$2/'hp (pSv cm2)'!$A$2)</f>
        <v>2.90252</v>
      </c>
      <c r="G74" s="67">
        <f t="shared" si="5"/>
        <v>5.8050400000000002E-5</v>
      </c>
      <c r="H74" s="83">
        <f>_xlfn.IFNA(0.997*(INDEX('Mass attenuation coefficients'!$B$2:$B$37,MATCH($C74,'Mass attenuation coefficients'!$A$2:$A$37,1))+($C74-INDEX('Mass attenuation coefficients'!$A$2:$A$37,MATCH($C74,'Mass attenuation coefficients'!$A$2:$A$37,1)))*(INDEX('Mass attenuation coefficients'!$B$2:$B$37,MATCH($C74,'Mass attenuation coefficients'!$A$2:$A$37,1)+1)-INDEX('Mass attenuation coefficients'!$B$2:$B$37,MATCH($C74,'Mass attenuation coefficients'!$A$2:$A$37,1)))/(INDEX('Mass attenuation coefficients'!$A$2:$A$37,MATCH($C74,'Mass attenuation coefficients'!$A$2:$A$37,1)+1)-INDEX('Mass attenuation coefficients'!$A$2:$A$37,MATCH($C74,'Mass attenuation coefficients'!$A$2:$A$37,1)))),0.997*$C74*'Mass attenuation coefficients'!$B$2/'Mass attenuation coefficients'!$A$2)</f>
        <v>8.9415217190000007E-2</v>
      </c>
      <c r="I74" s="83">
        <f>_xlfn.IFNA(INDEX('Shultis Faw'!$C$2:$C$26,MATCH($C74,'Shultis Faw'!$A$2:$A$26,1))+($C74-INDEX('Shultis Faw'!$A$2:$A$26,MATCH($C74,'Shultis Faw'!$A$2:$A$26,1)))*(INDEX('Shultis Faw'!$C$2:$C$26,MATCH($C74,'Shultis Faw'!$A$2:$A$26,1)+1)-INDEX('Shultis Faw'!$C$2:$C$26,MATCH($C74,'Shultis Faw'!$A$2:$A$26,1)))/(INDEX('Shultis Faw'!$A$2:$A$26,MATCH($C74,'Shultis Faw'!$A$2:$A$26,1)+1)-INDEX('Shultis Faw'!$A$2:$A$26,MATCH($C74,'Shultis Faw'!$A$2:$A$26,1))),$C74*'Shultis Faw'!$C$2/'Shultis Faw'!$A$2)</f>
        <v>2.3790909999999998</v>
      </c>
      <c r="J74" s="83">
        <f>_xlfn.IFNA(INDEX('Shultis Faw'!$D$2:$D$26,MATCH($C74,'Shultis Faw'!$A$2:$A$26,1))+($C74-INDEX('Shultis Faw'!$A$2:$A$26,MATCH($C74,'Shultis Faw'!$A$2:$A$26,1)))*(INDEX('Shultis Faw'!$D$2:$D$26,MATCH($C74,'Shultis Faw'!$A$2:$A$26,1)+1)-INDEX('Shultis Faw'!$D$2:$D$26,MATCH($C74,'Shultis Faw'!$A$2:$A$26,1)))/(INDEX('Shultis Faw'!$A$2:$A$26,MATCH($C74,'Shultis Faw'!$A$2:$A$26,1)+1)-INDEX('Shultis Faw'!$A$2:$A$26,MATCH($C74,'Shultis Faw'!$A$2:$A$26,1))),$C74*'Shultis Faw'!$D$2/'Shultis Faw'!$A$2)</f>
        <v>1.6804790000000001</v>
      </c>
      <c r="K74" s="83">
        <f>_xlfn.IFNA(INDEX('Shultis Faw'!$B$2:$B$26,MATCH($C74,'Shultis Faw'!$A$2:$A$26,1))+($C74-INDEX('Shultis Faw'!$A$2:$A$26,MATCH($C74,'Shultis Faw'!$A$2:$A$26,1)))*(INDEX('Shultis Faw'!$B$2:$B$26,MATCH($C74,'Shultis Faw'!$A$2:$A$26,1)+1)-INDEX('Shultis Faw'!$B$2:$B$26,MATCH($C74,'Shultis Faw'!$A$2:$A$26,1)))/(INDEX('Shultis Faw'!$A$2:$A$26,MATCH($C74,'Shultis Faw'!$A$2:$A$26,1)+1)-INDEX('Shultis Faw'!$A$2:$A$26,MATCH($C74,'Shultis Faw'!$A$2:$A$26,1))),$C74*'Shultis Faw'!$B$2/'Shultis Faw'!$A$2)</f>
        <v>-0.12418700000000001</v>
      </c>
      <c r="L74" s="83">
        <f>_xlfn.IFNA(INDEX('Shultis Faw'!$E$2:$E$26,MATCH($C74,'Shultis Faw'!$A$2:$A$26,1))+($C74-INDEX('Shultis Faw'!$A$2:$A$26,MATCH($C74,'Shultis Faw'!$A$2:$A$26,1)))*(INDEX('Shultis Faw'!$E$2:$E$26,MATCH($C74,'Shultis Faw'!$A$2:$A$26,1)+1)-INDEX('Shultis Faw'!$E$2:$E$26,MATCH($C74,'Shultis Faw'!$A$2:$A$26,1)))/(INDEX('Shultis Faw'!$A$2:$A$26,MATCH($C74,'Shultis Faw'!$A$2:$A$26,1)+1)-INDEX('Shultis Faw'!$A$2:$A$26,MATCH($C74,'Shultis Faw'!$A$2:$A$26,1))),$C74*'Shultis Faw'!$E$2/'Shultis Faw'!$A$2)</f>
        <v>5.0373099999999997E-2</v>
      </c>
      <c r="M74" s="83">
        <f>_xlfn.IFNA(INDEX('Shultis Faw'!$F$2:$F$26,MATCH($C74,'Shultis Faw'!$A$2:$A$26,1))+($C74-INDEX('Shultis Faw'!$A$2:$A$26,MATCH($C74,'Shultis Faw'!$A$2:$A$26,1)))*(INDEX('Shultis Faw'!$F$2:$F$26,MATCH($C74,'Shultis Faw'!$A$2:$A$26,1)+1)-INDEX('Shultis Faw'!$F$2:$F$26,MATCH($C74,'Shultis Faw'!$A$2:$A$26,1)))/(INDEX('Shultis Faw'!$A$2:$A$26,MATCH($C74,'Shultis Faw'!$A$2:$A$26,1)+1)-INDEX('Shultis Faw'!$A$2:$A$26,MATCH($C74,'Shultis Faw'!$A$2:$A$26,1))),$C74*'Shultis Faw'!$F$2/'Shultis Faw'!$A$2)</f>
        <v>14.2317</v>
      </c>
      <c r="N74" s="83">
        <f>J74*(H74*'Externe blootstelling'!$D$23/2)^K74+L74*(TANH(((H74*'Externe blootstelling'!$D$23)/(2*M74))-2)-TANH(-2))/(1-TANH(-2))</f>
        <v>1.6205002125980053</v>
      </c>
      <c r="O74" s="83">
        <f>IF(N74=1,1+(I74-1)*H74*'Externe blootstelling'!$D$23/2,1+(I74-1)*(N74^(H74*'Externe blootstelling'!$D$23/2)-1)/(N74-1))</f>
        <v>3.0240227103446258</v>
      </c>
      <c r="P74" s="67">
        <f>G74*EXP(-H74*'Externe blootstelling'!$D$23/2)*O74</f>
        <v>4.5909465194965798E-5</v>
      </c>
      <c r="Q74" s="68"/>
    </row>
    <row r="75" spans="1:17" x14ac:dyDescent="0.2">
      <c r="A75" s="217"/>
      <c r="B75" s="64" t="s">
        <v>104</v>
      </c>
      <c r="C75" s="65">
        <v>0.59853999999999996</v>
      </c>
      <c r="D75" s="66">
        <f t="shared" si="4"/>
        <v>9.5766399999999997E-14</v>
      </c>
      <c r="E75" s="66">
        <v>2.0000000000000002E-5</v>
      </c>
      <c r="F75" s="66">
        <f>_xlfn.IFNA(INDEX('hp (pSv cm2)'!$B$2:$B$52,MATCH($C75,'hp (pSv cm2)'!$A$2:$A$52,1))+($C75-INDEX('hp (pSv cm2)'!$A$2:$A$52,MATCH($C75,'hp (pSv cm2)'!$A$2:$A$52,1)))*(INDEX('hp (pSv cm2)'!$B$2:$B$52,MATCH($C75,'hp (pSv cm2)'!$A$2:$A$52,1)+1)-INDEX('hp (pSv cm2)'!$B$2:$B$52,MATCH($C75,'hp (pSv cm2)'!$A$2:$A$52,1)))/(INDEX('hp (pSv cm2)'!$A$2:$A$52,MATCH($C75,'hp (pSv cm2)'!$A$2:$A$52,1)+1)-INDEX('hp (pSv cm2)'!$A$2:$A$52,MATCH($C75,'hp (pSv cm2)'!$A$2:$A$52,1))),$C75*'hp (pSv cm2)'!$B$2/'hp (pSv cm2)'!$A$2)</f>
        <v>2.9035760000000002</v>
      </c>
      <c r="G75" s="67">
        <f t="shared" si="5"/>
        <v>5.8071520000000009E-5</v>
      </c>
      <c r="H75" s="83">
        <f>_xlfn.IFNA(0.997*(INDEX('Mass attenuation coefficients'!$B$2:$B$37,MATCH($C75,'Mass attenuation coefficients'!$A$2:$A$37,1))+($C75-INDEX('Mass attenuation coefficients'!$A$2:$A$37,MATCH($C75,'Mass attenuation coefficients'!$A$2:$A$37,1)))*(INDEX('Mass attenuation coefficients'!$B$2:$B$37,MATCH($C75,'Mass attenuation coefficients'!$A$2:$A$37,1)+1)-INDEX('Mass attenuation coefficients'!$B$2:$B$37,MATCH($C75,'Mass attenuation coefficients'!$A$2:$A$37,1)))/(INDEX('Mass attenuation coefficients'!$A$2:$A$37,MATCH($C75,'Mass attenuation coefficients'!$A$2:$A$37,1)+1)-INDEX('Mass attenuation coefficients'!$A$2:$A$37,MATCH($C75,'Mass attenuation coefficients'!$A$2:$A$37,1)))),0.997*$C75*'Mass attenuation coefficients'!$B$2/'Mass attenuation coefficients'!$A$2)</f>
        <v>8.9397725822000007E-2</v>
      </c>
      <c r="I75" s="83">
        <f>_xlfn.IFNA(INDEX('Shultis Faw'!$C$2:$C$26,MATCH($C75,'Shultis Faw'!$A$2:$A$26,1))+($C75-INDEX('Shultis Faw'!$A$2:$A$26,MATCH($C75,'Shultis Faw'!$A$2:$A$26,1)))*(INDEX('Shultis Faw'!$C$2:$C$26,MATCH($C75,'Shultis Faw'!$A$2:$A$26,1)+1)-INDEX('Shultis Faw'!$C$2:$C$26,MATCH($C75,'Shultis Faw'!$A$2:$A$26,1)))/(INDEX('Shultis Faw'!$A$2:$A$26,MATCH($C75,'Shultis Faw'!$A$2:$A$26,1)+1)-INDEX('Shultis Faw'!$A$2:$A$26,MATCH($C75,'Shultis Faw'!$A$2:$A$26,1))),$C75*'Shultis Faw'!$C$2/'Shultis Faw'!$A$2)</f>
        <v>2.3787957999999998</v>
      </c>
      <c r="J75" s="83">
        <f>_xlfn.IFNA(INDEX('Shultis Faw'!$D$2:$D$26,MATCH($C75,'Shultis Faw'!$A$2:$A$26,1))+($C75-INDEX('Shultis Faw'!$A$2:$A$26,MATCH($C75,'Shultis Faw'!$A$2:$A$26,1)))*(INDEX('Shultis Faw'!$D$2:$D$26,MATCH($C75,'Shultis Faw'!$A$2:$A$26,1)+1)-INDEX('Shultis Faw'!$D$2:$D$26,MATCH($C75,'Shultis Faw'!$A$2:$A$26,1)))/(INDEX('Shultis Faw'!$A$2:$A$26,MATCH($C75,'Shultis Faw'!$A$2:$A$26,1)+1)-INDEX('Shultis Faw'!$A$2:$A$26,MATCH($C75,'Shultis Faw'!$A$2:$A$26,1))),$C75*'Shultis Faw'!$D$2/'Shultis Faw'!$A$2)</f>
        <v>1.6802702</v>
      </c>
      <c r="K75" s="83">
        <f>_xlfn.IFNA(INDEX('Shultis Faw'!$B$2:$B$26,MATCH($C75,'Shultis Faw'!$A$2:$A$26,1))+($C75-INDEX('Shultis Faw'!$A$2:$A$26,MATCH($C75,'Shultis Faw'!$A$2:$A$26,1)))*(INDEX('Shultis Faw'!$B$2:$B$26,MATCH($C75,'Shultis Faw'!$A$2:$A$26,1)+1)-INDEX('Shultis Faw'!$B$2:$B$26,MATCH($C75,'Shultis Faw'!$A$2:$A$26,1)))/(INDEX('Shultis Faw'!$A$2:$A$26,MATCH($C75,'Shultis Faw'!$A$2:$A$26,1)+1)-INDEX('Shultis Faw'!$A$2:$A$26,MATCH($C75,'Shultis Faw'!$A$2:$A$26,1))),$C75*'Shultis Faw'!$B$2/'Shultis Faw'!$A$2)</f>
        <v>-0.1241606</v>
      </c>
      <c r="L75" s="83">
        <f>_xlfn.IFNA(INDEX('Shultis Faw'!$E$2:$E$26,MATCH($C75,'Shultis Faw'!$A$2:$A$26,1))+($C75-INDEX('Shultis Faw'!$A$2:$A$26,MATCH($C75,'Shultis Faw'!$A$2:$A$26,1)))*(INDEX('Shultis Faw'!$E$2:$E$26,MATCH($C75,'Shultis Faw'!$A$2:$A$26,1)+1)-INDEX('Shultis Faw'!$E$2:$E$26,MATCH($C75,'Shultis Faw'!$A$2:$A$26,1)))/(INDEX('Shultis Faw'!$A$2:$A$26,MATCH($C75,'Shultis Faw'!$A$2:$A$26,1)+1)-INDEX('Shultis Faw'!$A$2:$A$26,MATCH($C75,'Shultis Faw'!$A$2:$A$26,1))),$C75*'Shultis Faw'!$E$2/'Shultis Faw'!$A$2)</f>
        <v>5.0362779999999996E-2</v>
      </c>
      <c r="M75" s="83">
        <f>_xlfn.IFNA(INDEX('Shultis Faw'!$F$2:$F$26,MATCH($C75,'Shultis Faw'!$A$2:$A$26,1))+($C75-INDEX('Shultis Faw'!$A$2:$A$26,MATCH($C75,'Shultis Faw'!$A$2:$A$26,1)))*(INDEX('Shultis Faw'!$F$2:$F$26,MATCH($C75,'Shultis Faw'!$A$2:$A$26,1)+1)-INDEX('Shultis Faw'!$F$2:$F$26,MATCH($C75,'Shultis Faw'!$A$2:$A$26,1)))/(INDEX('Shultis Faw'!$A$2:$A$26,MATCH($C75,'Shultis Faw'!$A$2:$A$26,1)+1)-INDEX('Shultis Faw'!$A$2:$A$26,MATCH($C75,'Shultis Faw'!$A$2:$A$26,1))),$C75*'Shultis Faw'!$F$2/'Shultis Faw'!$A$2)</f>
        <v>14.23146</v>
      </c>
      <c r="N75" s="83">
        <f>J75*(H75*'Externe blootstelling'!$D$23/2)^K75+L75*(TANH(((H75*'Externe blootstelling'!$D$23)/(2*M75))-2)-TANH(-2))/(1-TANH(-2))</f>
        <v>1.6203507246019155</v>
      </c>
      <c r="O75" s="83">
        <f>IF(N75=1,1+(I75-1)*H75*'Externe blootstelling'!$D$23/2,1+(I75-1)*(N75^(H75*'Externe blootstelling'!$D$23/2)-1)/(N75-1))</f>
        <v>3.0230140134720744</v>
      </c>
      <c r="P75" s="67">
        <f>G75*EXP(-H75*'Externe blootstelling'!$D$23/2)*O75</f>
        <v>4.5922896100867071E-5</v>
      </c>
      <c r="Q75" s="68"/>
    </row>
    <row r="76" spans="1:17" x14ac:dyDescent="0.2">
      <c r="A76" s="217"/>
      <c r="B76" s="64" t="s">
        <v>104</v>
      </c>
      <c r="C76" s="65">
        <v>0.60360000000000003</v>
      </c>
      <c r="D76" s="66">
        <f t="shared" si="4"/>
        <v>9.6575999999999992E-14</v>
      </c>
      <c r="E76" s="66">
        <v>4.8999999999999998E-5</v>
      </c>
      <c r="F76" s="66">
        <f>_xlfn.IFNA(INDEX('hp (pSv cm2)'!$B$2:$B$52,MATCH($C76,'hp (pSv cm2)'!$A$2:$A$52,1))+($C76-INDEX('hp (pSv cm2)'!$A$2:$A$52,MATCH($C76,'hp (pSv cm2)'!$A$2:$A$52,1)))*(INDEX('hp (pSv cm2)'!$B$2:$B$52,MATCH($C76,'hp (pSv cm2)'!$A$2:$A$52,1)+1)-INDEX('hp (pSv cm2)'!$B$2:$B$52,MATCH($C76,'hp (pSv cm2)'!$A$2:$A$52,1)))/(INDEX('hp (pSv cm2)'!$A$2:$A$52,MATCH($C76,'hp (pSv cm2)'!$A$2:$A$52,1)+1)-INDEX('hp (pSv cm2)'!$A$2:$A$52,MATCH($C76,'hp (pSv cm2)'!$A$2:$A$52,1))),$C76*'hp (pSv cm2)'!$B$2/'hp (pSv cm2)'!$A$2)</f>
        <v>2.9247600000000005</v>
      </c>
      <c r="G76" s="67">
        <f t="shared" si="5"/>
        <v>1.4331324000000002E-4</v>
      </c>
      <c r="H76" s="83">
        <f>_xlfn.IFNA(0.997*(INDEX('Mass attenuation coefficients'!$B$2:$B$37,MATCH($C76,'Mass attenuation coefficients'!$A$2:$A$37,1))+($C76-INDEX('Mass attenuation coefficients'!$A$2:$A$37,MATCH($C76,'Mass attenuation coefficients'!$A$2:$A$37,1)))*(INDEX('Mass attenuation coefficients'!$B$2:$B$37,MATCH($C76,'Mass attenuation coefficients'!$A$2:$A$37,1)+1)-INDEX('Mass attenuation coefficients'!$B$2:$B$37,MATCH($C76,'Mass attenuation coefficients'!$A$2:$A$37,1)))/(INDEX('Mass attenuation coefficients'!$A$2:$A$37,MATCH($C76,'Mass attenuation coefficients'!$A$2:$A$37,1)+1)-INDEX('Mass attenuation coefficients'!$A$2:$A$37,MATCH($C76,'Mass attenuation coefficients'!$A$2:$A$37,1)))),0.997*$C76*'Mass attenuation coefficients'!$B$2/'Mass attenuation coefficients'!$A$2)</f>
        <v>8.9095529140000004E-2</v>
      </c>
      <c r="I76" s="83">
        <f>_xlfn.IFNA(INDEX('Shultis Faw'!$C$2:$C$26,MATCH($C76,'Shultis Faw'!$A$2:$A$26,1))+($C76-INDEX('Shultis Faw'!$A$2:$A$26,MATCH($C76,'Shultis Faw'!$A$2:$A$26,1)))*(INDEX('Shultis Faw'!$C$2:$C$26,MATCH($C76,'Shultis Faw'!$A$2:$A$26,1)+1)-INDEX('Shultis Faw'!$C$2:$C$26,MATCH($C76,'Shultis Faw'!$A$2:$A$26,1)))/(INDEX('Shultis Faw'!$A$2:$A$26,MATCH($C76,'Shultis Faw'!$A$2:$A$26,1)+1)-INDEX('Shultis Faw'!$A$2:$A$26,MATCH($C76,'Shultis Faw'!$A$2:$A$26,1))),$C76*'Shultis Faw'!$C$2/'Shultis Faw'!$A$2)</f>
        <v>2.3740299999999999</v>
      </c>
      <c r="J76" s="83">
        <f>_xlfn.IFNA(INDEX('Shultis Faw'!$D$2:$D$26,MATCH($C76,'Shultis Faw'!$A$2:$A$26,1))+($C76-INDEX('Shultis Faw'!$A$2:$A$26,MATCH($C76,'Shultis Faw'!$A$2:$A$26,1)))*(INDEX('Shultis Faw'!$D$2:$D$26,MATCH($C76,'Shultis Faw'!$A$2:$A$26,1)+1)-INDEX('Shultis Faw'!$D$2:$D$26,MATCH($C76,'Shultis Faw'!$A$2:$A$26,1)))/(INDEX('Shultis Faw'!$A$2:$A$26,MATCH($C76,'Shultis Faw'!$A$2:$A$26,1)+1)-INDEX('Shultis Faw'!$A$2:$A$26,MATCH($C76,'Shultis Faw'!$A$2:$A$26,1))),$C76*'Shultis Faw'!$D$2/'Shultis Faw'!$A$2)</f>
        <v>1.6765700000000001</v>
      </c>
      <c r="K76" s="83">
        <f>_xlfn.IFNA(INDEX('Shultis Faw'!$B$2:$B$26,MATCH($C76,'Shultis Faw'!$A$2:$A$26,1))+($C76-INDEX('Shultis Faw'!$A$2:$A$26,MATCH($C76,'Shultis Faw'!$A$2:$A$26,1)))*(INDEX('Shultis Faw'!$B$2:$B$26,MATCH($C76,'Shultis Faw'!$A$2:$A$26,1)+1)-INDEX('Shultis Faw'!$B$2:$B$26,MATCH($C76,'Shultis Faw'!$A$2:$A$26,1)))/(INDEX('Shultis Faw'!$A$2:$A$26,MATCH($C76,'Shultis Faw'!$A$2:$A$26,1)+1)-INDEX('Shultis Faw'!$A$2:$A$26,MATCH($C76,'Shultis Faw'!$A$2:$A$26,1))),$C76*'Shultis Faw'!$B$2/'Shultis Faw'!$A$2)</f>
        <v>-0.12365799999999999</v>
      </c>
      <c r="L76" s="83">
        <f>_xlfn.IFNA(INDEX('Shultis Faw'!$E$2:$E$26,MATCH($C76,'Shultis Faw'!$A$2:$A$26,1))+($C76-INDEX('Shultis Faw'!$A$2:$A$26,MATCH($C76,'Shultis Faw'!$A$2:$A$26,1)))*(INDEX('Shultis Faw'!$E$2:$E$26,MATCH($C76,'Shultis Faw'!$A$2:$A$26,1)+1)-INDEX('Shultis Faw'!$E$2:$E$26,MATCH($C76,'Shultis Faw'!$A$2:$A$26,1)))/(INDEX('Shultis Faw'!$A$2:$A$26,MATCH($C76,'Shultis Faw'!$A$2:$A$26,1)+1)-INDEX('Shultis Faw'!$A$2:$A$26,MATCH($C76,'Shultis Faw'!$A$2:$A$26,1))),$C76*'Shultis Faw'!$E$2/'Shultis Faw'!$A$2)</f>
        <v>5.0181199999999995E-2</v>
      </c>
      <c r="M76" s="83">
        <f>_xlfn.IFNA(INDEX('Shultis Faw'!$F$2:$F$26,MATCH($C76,'Shultis Faw'!$A$2:$A$26,1))+($C76-INDEX('Shultis Faw'!$A$2:$A$26,MATCH($C76,'Shultis Faw'!$A$2:$A$26,1)))*(INDEX('Shultis Faw'!$F$2:$F$26,MATCH($C76,'Shultis Faw'!$A$2:$A$26,1)+1)-INDEX('Shultis Faw'!$F$2:$F$26,MATCH($C76,'Shultis Faw'!$A$2:$A$26,1)))/(INDEX('Shultis Faw'!$A$2:$A$26,MATCH($C76,'Shultis Faw'!$A$2:$A$26,1)+1)-INDEX('Shultis Faw'!$A$2:$A$26,MATCH($C76,'Shultis Faw'!$A$2:$A$26,1))),$C76*'Shultis Faw'!$F$2/'Shultis Faw'!$A$2)</f>
        <v>14.232340000000001</v>
      </c>
      <c r="N76" s="83">
        <f>J76*(H76*'Externe blootstelling'!$D$23/2)^K76+L76*(TANH(((H76*'Externe blootstelling'!$D$23)/(2*M76))-2)-TANH(-2))/(1-TANH(-2))</f>
        <v>1.6176970469479302</v>
      </c>
      <c r="O76" s="83">
        <f>IF(N76=1,1+(I76-1)*H76*'Externe blootstelling'!$D$23/2,1+(I76-1)*(N76^(H76*'Externe blootstelling'!$D$23/2)-1)/(N76-1))</f>
        <v>3.0061192508456394</v>
      </c>
      <c r="P76" s="67">
        <f>G76*EXP(-H76*'Externe blootstelling'!$D$23/2)*O76</f>
        <v>1.1321059406422953E-4</v>
      </c>
      <c r="Q76" s="68"/>
    </row>
    <row r="77" spans="1:17" x14ac:dyDescent="0.2">
      <c r="A77" s="217"/>
      <c r="B77" s="64" t="s">
        <v>104</v>
      </c>
      <c r="C77" s="65">
        <v>0.60402999999999996</v>
      </c>
      <c r="D77" s="66">
        <f t="shared" si="4"/>
        <v>9.6644799999999999E-14</v>
      </c>
      <c r="E77" s="66">
        <v>4.8999999999999998E-5</v>
      </c>
      <c r="F77" s="66">
        <f>_xlfn.IFNA(INDEX('hp (pSv cm2)'!$B$2:$B$52,MATCH($C77,'hp (pSv cm2)'!$A$2:$A$52,1))+($C77-INDEX('hp (pSv cm2)'!$A$2:$A$52,MATCH($C77,'hp (pSv cm2)'!$A$2:$A$52,1)))*(INDEX('hp (pSv cm2)'!$B$2:$B$52,MATCH($C77,'hp (pSv cm2)'!$A$2:$A$52,1)+1)-INDEX('hp (pSv cm2)'!$B$2:$B$52,MATCH($C77,'hp (pSv cm2)'!$A$2:$A$52,1)))/(INDEX('hp (pSv cm2)'!$A$2:$A$52,MATCH($C77,'hp (pSv cm2)'!$A$2:$A$52,1)+1)-INDEX('hp (pSv cm2)'!$A$2:$A$52,MATCH($C77,'hp (pSv cm2)'!$A$2:$A$52,1))),$C77*'hp (pSv cm2)'!$B$2/'hp (pSv cm2)'!$A$2)</f>
        <v>2.926523</v>
      </c>
      <c r="G77" s="67">
        <f t="shared" si="5"/>
        <v>1.4339962699999999E-4</v>
      </c>
      <c r="H77" s="83">
        <f>_xlfn.IFNA(0.997*(INDEX('Mass attenuation coefficients'!$B$2:$B$37,MATCH($C77,'Mass attenuation coefficients'!$A$2:$A$37,1))+($C77-INDEX('Mass attenuation coefficients'!$A$2:$A$37,MATCH($C77,'Mass attenuation coefficients'!$A$2:$A$37,1)))*(INDEX('Mass attenuation coefficients'!$B$2:$B$37,MATCH($C77,'Mass attenuation coefficients'!$A$2:$A$37,1)+1)-INDEX('Mass attenuation coefficients'!$B$2:$B$37,MATCH($C77,'Mass attenuation coefficients'!$A$2:$A$37,1)))/(INDEX('Mass attenuation coefficients'!$A$2:$A$37,MATCH($C77,'Mass attenuation coefficients'!$A$2:$A$37,1)+1)-INDEX('Mass attenuation coefficients'!$A$2:$A$37,MATCH($C77,'Mass attenuation coefficients'!$A$2:$A$37,1)))),0.997*$C77*'Mass attenuation coefficients'!$B$2/'Mass attenuation coefficients'!$A$2)</f>
        <v>8.9072143009500004E-2</v>
      </c>
      <c r="I77" s="83">
        <f>_xlfn.IFNA(INDEX('Shultis Faw'!$C$2:$C$26,MATCH($C77,'Shultis Faw'!$A$2:$A$26,1))+($C77-INDEX('Shultis Faw'!$A$2:$A$26,MATCH($C77,'Shultis Faw'!$A$2:$A$26,1)))*(INDEX('Shultis Faw'!$C$2:$C$26,MATCH($C77,'Shultis Faw'!$A$2:$A$26,1)+1)-INDEX('Shultis Faw'!$C$2:$C$26,MATCH($C77,'Shultis Faw'!$A$2:$A$26,1)))/(INDEX('Shultis Faw'!$A$2:$A$26,MATCH($C77,'Shultis Faw'!$A$2:$A$26,1)+1)-INDEX('Shultis Faw'!$A$2:$A$26,MATCH($C77,'Shultis Faw'!$A$2:$A$26,1))),$C77*'Shultis Faw'!$C$2/'Shultis Faw'!$A$2)</f>
        <v>2.3736752499999998</v>
      </c>
      <c r="J77" s="83">
        <f>_xlfn.IFNA(INDEX('Shultis Faw'!$D$2:$D$26,MATCH($C77,'Shultis Faw'!$A$2:$A$26,1))+($C77-INDEX('Shultis Faw'!$A$2:$A$26,MATCH($C77,'Shultis Faw'!$A$2:$A$26,1)))*(INDEX('Shultis Faw'!$D$2:$D$26,MATCH($C77,'Shultis Faw'!$A$2:$A$26,1)+1)-INDEX('Shultis Faw'!$D$2:$D$26,MATCH($C77,'Shultis Faw'!$A$2:$A$26,1)))/(INDEX('Shultis Faw'!$A$2:$A$26,MATCH($C77,'Shultis Faw'!$A$2:$A$26,1)+1)-INDEX('Shultis Faw'!$A$2:$A$26,MATCH($C77,'Shultis Faw'!$A$2:$A$26,1))),$C77*'Shultis Faw'!$D$2/'Shultis Faw'!$A$2)</f>
        <v>1.67627975</v>
      </c>
      <c r="K77" s="83">
        <f>_xlfn.IFNA(INDEX('Shultis Faw'!$B$2:$B$26,MATCH($C77,'Shultis Faw'!$A$2:$A$26,1))+($C77-INDEX('Shultis Faw'!$A$2:$A$26,MATCH($C77,'Shultis Faw'!$A$2:$A$26,1)))*(INDEX('Shultis Faw'!$B$2:$B$26,MATCH($C77,'Shultis Faw'!$A$2:$A$26,1)+1)-INDEX('Shultis Faw'!$B$2:$B$26,MATCH($C77,'Shultis Faw'!$A$2:$A$26,1)))/(INDEX('Shultis Faw'!$A$2:$A$26,MATCH($C77,'Shultis Faw'!$A$2:$A$26,1)+1)-INDEX('Shultis Faw'!$A$2:$A$26,MATCH($C77,'Shultis Faw'!$A$2:$A$26,1))),$C77*'Shultis Faw'!$B$2/'Shultis Faw'!$A$2)</f>
        <v>-0.12361715</v>
      </c>
      <c r="L77" s="83">
        <f>_xlfn.IFNA(INDEX('Shultis Faw'!$E$2:$E$26,MATCH($C77,'Shultis Faw'!$A$2:$A$26,1))+($C77-INDEX('Shultis Faw'!$A$2:$A$26,MATCH($C77,'Shultis Faw'!$A$2:$A$26,1)))*(INDEX('Shultis Faw'!$E$2:$E$26,MATCH($C77,'Shultis Faw'!$A$2:$A$26,1)+1)-INDEX('Shultis Faw'!$E$2:$E$26,MATCH($C77,'Shultis Faw'!$A$2:$A$26,1)))/(INDEX('Shultis Faw'!$A$2:$A$26,MATCH($C77,'Shultis Faw'!$A$2:$A$26,1)+1)-INDEX('Shultis Faw'!$A$2:$A$26,MATCH($C77,'Shultis Faw'!$A$2:$A$26,1))),$C77*'Shultis Faw'!$E$2/'Shultis Faw'!$A$2)</f>
        <v>5.0167009999999998E-2</v>
      </c>
      <c r="M77" s="83">
        <f>_xlfn.IFNA(INDEX('Shultis Faw'!$F$2:$F$26,MATCH($C77,'Shultis Faw'!$A$2:$A$26,1))+($C77-INDEX('Shultis Faw'!$A$2:$A$26,MATCH($C77,'Shultis Faw'!$A$2:$A$26,1)))*(INDEX('Shultis Faw'!$F$2:$F$26,MATCH($C77,'Shultis Faw'!$A$2:$A$26,1)+1)-INDEX('Shultis Faw'!$F$2:$F$26,MATCH($C77,'Shultis Faw'!$A$2:$A$26,1)))/(INDEX('Shultis Faw'!$A$2:$A$26,MATCH($C77,'Shultis Faw'!$A$2:$A$26,1)+1)-INDEX('Shultis Faw'!$A$2:$A$26,MATCH($C77,'Shultis Faw'!$A$2:$A$26,1))),$C77*'Shultis Faw'!$F$2/'Shultis Faw'!$A$2)</f>
        <v>14.2326195</v>
      </c>
      <c r="N77" s="83">
        <f>J77*(H77*'Externe blootstelling'!$D$23/2)^K77+L77*(TANH(((H77*'Externe blootstelling'!$D$23)/(2*M77))-2)-TANH(-2))/(1-TANH(-2))</f>
        <v>1.6174885538626276</v>
      </c>
      <c r="O77" s="83">
        <f>IF(N77=1,1+(I77-1)*H77*'Externe blootstelling'!$D$23/2,1+(I77-1)*(N77^(H77*'Externe blootstelling'!$D$23/2)-1)/(N77-1))</f>
        <v>3.0048362516376037</v>
      </c>
      <c r="P77" s="67">
        <f>G77*EXP(-H77*'Externe blootstelling'!$D$23/2)*O77</f>
        <v>1.1327021603171368E-4</v>
      </c>
      <c r="Q77" s="68"/>
    </row>
    <row r="78" spans="1:17" x14ac:dyDescent="0.2">
      <c r="A78" s="217"/>
      <c r="B78" s="64" t="s">
        <v>104</v>
      </c>
      <c r="C78" s="65">
        <v>0.60950000000000004</v>
      </c>
      <c r="D78" s="66">
        <f t="shared" si="4"/>
        <v>9.7519999999999997E-14</v>
      </c>
      <c r="E78" s="66">
        <v>1.2899999999999999E-4</v>
      </c>
      <c r="F78" s="66">
        <f>_xlfn.IFNA(INDEX('hp (pSv cm2)'!$B$2:$B$52,MATCH($C78,'hp (pSv cm2)'!$A$2:$A$52,1))+($C78-INDEX('hp (pSv cm2)'!$A$2:$A$52,MATCH($C78,'hp (pSv cm2)'!$A$2:$A$52,1)))*(INDEX('hp (pSv cm2)'!$B$2:$B$52,MATCH($C78,'hp (pSv cm2)'!$A$2:$A$52,1)+1)-INDEX('hp (pSv cm2)'!$B$2:$B$52,MATCH($C78,'hp (pSv cm2)'!$A$2:$A$52,1)))/(INDEX('hp (pSv cm2)'!$A$2:$A$52,MATCH($C78,'hp (pSv cm2)'!$A$2:$A$52,1)+1)-INDEX('hp (pSv cm2)'!$A$2:$A$52,MATCH($C78,'hp (pSv cm2)'!$A$2:$A$52,1))),$C78*'hp (pSv cm2)'!$B$2/'hp (pSv cm2)'!$A$2)</f>
        <v>2.9489500000000004</v>
      </c>
      <c r="G78" s="67">
        <f t="shared" si="5"/>
        <v>3.8041455E-4</v>
      </c>
      <c r="H78" s="83">
        <f>_xlfn.IFNA(0.997*(INDEX('Mass attenuation coefficients'!$B$2:$B$37,MATCH($C78,'Mass attenuation coefficients'!$A$2:$A$37,1))+($C78-INDEX('Mass attenuation coefficients'!$A$2:$A$37,MATCH($C78,'Mass attenuation coefficients'!$A$2:$A$37,1)))*(INDEX('Mass attenuation coefficients'!$B$2:$B$37,MATCH($C78,'Mass attenuation coefficients'!$A$2:$A$37,1)+1)-INDEX('Mass attenuation coefficients'!$B$2:$B$37,MATCH($C78,'Mass attenuation coefficients'!$A$2:$A$37,1)))/(INDEX('Mass attenuation coefficients'!$A$2:$A$37,MATCH($C78,'Mass attenuation coefficients'!$A$2:$A$37,1)+1)-INDEX('Mass attenuation coefficients'!$A$2:$A$37,MATCH($C78,'Mass attenuation coefficients'!$A$2:$A$37,1)))),0.997*$C78*'Mass attenuation coefficients'!$B$2/'Mass attenuation coefficients'!$A$2)</f>
        <v>8.8774649674999997E-2</v>
      </c>
      <c r="I78" s="83">
        <f>_xlfn.IFNA(INDEX('Shultis Faw'!$C$2:$C$26,MATCH($C78,'Shultis Faw'!$A$2:$A$26,1))+($C78-INDEX('Shultis Faw'!$A$2:$A$26,MATCH($C78,'Shultis Faw'!$A$2:$A$26,1)))*(INDEX('Shultis Faw'!$C$2:$C$26,MATCH($C78,'Shultis Faw'!$A$2:$A$26,1)+1)-INDEX('Shultis Faw'!$C$2:$C$26,MATCH($C78,'Shultis Faw'!$A$2:$A$26,1)))/(INDEX('Shultis Faw'!$A$2:$A$26,MATCH($C78,'Shultis Faw'!$A$2:$A$26,1)+1)-INDEX('Shultis Faw'!$A$2:$A$26,MATCH($C78,'Shultis Faw'!$A$2:$A$26,1))),$C78*'Shultis Faw'!$C$2/'Shultis Faw'!$A$2)</f>
        <v>2.3691624999999998</v>
      </c>
      <c r="J78" s="83">
        <f>_xlfn.IFNA(INDEX('Shultis Faw'!$D$2:$D$26,MATCH($C78,'Shultis Faw'!$A$2:$A$26,1))+($C78-INDEX('Shultis Faw'!$A$2:$A$26,MATCH($C78,'Shultis Faw'!$A$2:$A$26,1)))*(INDEX('Shultis Faw'!$D$2:$D$26,MATCH($C78,'Shultis Faw'!$A$2:$A$26,1)+1)-INDEX('Shultis Faw'!$D$2:$D$26,MATCH($C78,'Shultis Faw'!$A$2:$A$26,1)))/(INDEX('Shultis Faw'!$A$2:$A$26,MATCH($C78,'Shultis Faw'!$A$2:$A$26,1)+1)-INDEX('Shultis Faw'!$A$2:$A$26,MATCH($C78,'Shultis Faw'!$A$2:$A$26,1))),$C78*'Shultis Faw'!$D$2/'Shultis Faw'!$A$2)</f>
        <v>1.6725875000000001</v>
      </c>
      <c r="K78" s="83">
        <f>_xlfn.IFNA(INDEX('Shultis Faw'!$B$2:$B$26,MATCH($C78,'Shultis Faw'!$A$2:$A$26,1))+($C78-INDEX('Shultis Faw'!$A$2:$A$26,MATCH($C78,'Shultis Faw'!$A$2:$A$26,1)))*(INDEX('Shultis Faw'!$B$2:$B$26,MATCH($C78,'Shultis Faw'!$A$2:$A$26,1)+1)-INDEX('Shultis Faw'!$B$2:$B$26,MATCH($C78,'Shultis Faw'!$A$2:$A$26,1)))/(INDEX('Shultis Faw'!$A$2:$A$26,MATCH($C78,'Shultis Faw'!$A$2:$A$26,1)+1)-INDEX('Shultis Faw'!$A$2:$A$26,MATCH($C78,'Shultis Faw'!$A$2:$A$26,1))),$C78*'Shultis Faw'!$B$2/'Shultis Faw'!$A$2)</f>
        <v>-0.1230975</v>
      </c>
      <c r="L78" s="83">
        <f>_xlfn.IFNA(INDEX('Shultis Faw'!$E$2:$E$26,MATCH($C78,'Shultis Faw'!$A$2:$A$26,1))+($C78-INDEX('Shultis Faw'!$A$2:$A$26,MATCH($C78,'Shultis Faw'!$A$2:$A$26,1)))*(INDEX('Shultis Faw'!$E$2:$E$26,MATCH($C78,'Shultis Faw'!$A$2:$A$26,1)+1)-INDEX('Shultis Faw'!$E$2:$E$26,MATCH($C78,'Shultis Faw'!$A$2:$A$26,1)))/(INDEX('Shultis Faw'!$A$2:$A$26,MATCH($C78,'Shultis Faw'!$A$2:$A$26,1)+1)-INDEX('Shultis Faw'!$A$2:$A$26,MATCH($C78,'Shultis Faw'!$A$2:$A$26,1))),$C78*'Shultis Faw'!$E$2/'Shultis Faw'!$A$2)</f>
        <v>4.9986499999999996E-2</v>
      </c>
      <c r="M78" s="83">
        <f>_xlfn.IFNA(INDEX('Shultis Faw'!$F$2:$F$26,MATCH($C78,'Shultis Faw'!$A$2:$A$26,1))+($C78-INDEX('Shultis Faw'!$A$2:$A$26,MATCH($C78,'Shultis Faw'!$A$2:$A$26,1)))*(INDEX('Shultis Faw'!$F$2:$F$26,MATCH($C78,'Shultis Faw'!$A$2:$A$26,1)+1)-INDEX('Shultis Faw'!$F$2:$F$26,MATCH($C78,'Shultis Faw'!$A$2:$A$26,1)))/(INDEX('Shultis Faw'!$A$2:$A$26,MATCH($C78,'Shultis Faw'!$A$2:$A$26,1)+1)-INDEX('Shultis Faw'!$A$2:$A$26,MATCH($C78,'Shultis Faw'!$A$2:$A$26,1))),$C78*'Shultis Faw'!$F$2/'Shultis Faw'!$A$2)</f>
        <v>14.236175000000001</v>
      </c>
      <c r="N78" s="83">
        <f>J78*(H78*'Externe blootstelling'!$D$23/2)^K78+L78*(TANH(((H78*'Externe blootstelling'!$D$23)/(2*M78))-2)-TANH(-2))/(1-TANH(-2))</f>
        <v>1.6148326182830379</v>
      </c>
      <c r="O78" s="83">
        <f>IF(N78=1,1+(I78-1)*H78*'Externe blootstelling'!$D$23/2,1+(I78-1)*(N78^(H78*'Externe blootstelling'!$D$23/2)-1)/(N78-1))</f>
        <v>2.9885717747147655</v>
      </c>
      <c r="P78" s="67">
        <f>G78*EXP(-H78*'Externe blootstelling'!$D$23/2)*O78</f>
        <v>3.0019655396108406E-4</v>
      </c>
      <c r="Q78" s="68"/>
    </row>
    <row r="79" spans="1:17" x14ac:dyDescent="0.2">
      <c r="A79" s="217"/>
      <c r="B79" s="64" t="s">
        <v>104</v>
      </c>
      <c r="C79" s="65">
        <v>0.60994999999999999</v>
      </c>
      <c r="D79" s="66">
        <f t="shared" si="4"/>
        <v>9.7591999999999997E-14</v>
      </c>
      <c r="E79" s="66">
        <v>1.2899999999999999E-4</v>
      </c>
      <c r="F79" s="66">
        <f>_xlfn.IFNA(INDEX('hp (pSv cm2)'!$B$2:$B$52,MATCH($C79,'hp (pSv cm2)'!$A$2:$A$52,1))+($C79-INDEX('hp (pSv cm2)'!$A$2:$A$52,MATCH($C79,'hp (pSv cm2)'!$A$2:$A$52,1)))*(INDEX('hp (pSv cm2)'!$B$2:$B$52,MATCH($C79,'hp (pSv cm2)'!$A$2:$A$52,1)+1)-INDEX('hp (pSv cm2)'!$B$2:$B$52,MATCH($C79,'hp (pSv cm2)'!$A$2:$A$52,1)))/(INDEX('hp (pSv cm2)'!$A$2:$A$52,MATCH($C79,'hp (pSv cm2)'!$A$2:$A$52,1)+1)-INDEX('hp (pSv cm2)'!$A$2:$A$52,MATCH($C79,'hp (pSv cm2)'!$A$2:$A$52,1))),$C79*'hp (pSv cm2)'!$B$2/'hp (pSv cm2)'!$A$2)</f>
        <v>2.9507950000000003</v>
      </c>
      <c r="G79" s="67">
        <f t="shared" si="5"/>
        <v>3.8065255499999999E-4</v>
      </c>
      <c r="H79" s="83">
        <f>_xlfn.IFNA(0.997*(INDEX('Mass attenuation coefficients'!$B$2:$B$37,MATCH($C79,'Mass attenuation coefficients'!$A$2:$A$37,1))+($C79-INDEX('Mass attenuation coefficients'!$A$2:$A$37,MATCH($C79,'Mass attenuation coefficients'!$A$2:$A$37,1)))*(INDEX('Mass attenuation coefficients'!$B$2:$B$37,MATCH($C79,'Mass attenuation coefficients'!$A$2:$A$37,1)+1)-INDEX('Mass attenuation coefficients'!$B$2:$B$37,MATCH($C79,'Mass attenuation coefficients'!$A$2:$A$37,1)))/(INDEX('Mass attenuation coefficients'!$A$2:$A$37,MATCH($C79,'Mass attenuation coefficients'!$A$2:$A$37,1)+1)-INDEX('Mass attenuation coefficients'!$A$2:$A$37,MATCH($C79,'Mass attenuation coefficients'!$A$2:$A$37,1)))),0.997*$C79*'Mass attenuation coefficients'!$B$2/'Mass attenuation coefficients'!$A$2)</f>
        <v>8.8750175817499999E-2</v>
      </c>
      <c r="I79" s="83">
        <f>_xlfn.IFNA(INDEX('Shultis Faw'!$C$2:$C$26,MATCH($C79,'Shultis Faw'!$A$2:$A$26,1))+($C79-INDEX('Shultis Faw'!$A$2:$A$26,MATCH($C79,'Shultis Faw'!$A$2:$A$26,1)))*(INDEX('Shultis Faw'!$C$2:$C$26,MATCH($C79,'Shultis Faw'!$A$2:$A$26,1)+1)-INDEX('Shultis Faw'!$C$2:$C$26,MATCH($C79,'Shultis Faw'!$A$2:$A$26,1)))/(INDEX('Shultis Faw'!$A$2:$A$26,MATCH($C79,'Shultis Faw'!$A$2:$A$26,1)+1)-INDEX('Shultis Faw'!$A$2:$A$26,MATCH($C79,'Shultis Faw'!$A$2:$A$26,1))),$C79*'Shultis Faw'!$C$2/'Shultis Faw'!$A$2)</f>
        <v>2.3687912499999997</v>
      </c>
      <c r="J79" s="83">
        <f>_xlfn.IFNA(INDEX('Shultis Faw'!$D$2:$D$26,MATCH($C79,'Shultis Faw'!$A$2:$A$26,1))+($C79-INDEX('Shultis Faw'!$A$2:$A$26,MATCH($C79,'Shultis Faw'!$A$2:$A$26,1)))*(INDEX('Shultis Faw'!$D$2:$D$26,MATCH($C79,'Shultis Faw'!$A$2:$A$26,1)+1)-INDEX('Shultis Faw'!$D$2:$D$26,MATCH($C79,'Shultis Faw'!$A$2:$A$26,1)))/(INDEX('Shultis Faw'!$A$2:$A$26,MATCH($C79,'Shultis Faw'!$A$2:$A$26,1)+1)-INDEX('Shultis Faw'!$A$2:$A$26,MATCH($C79,'Shultis Faw'!$A$2:$A$26,1))),$C79*'Shultis Faw'!$D$2/'Shultis Faw'!$A$2)</f>
        <v>1.6722837500000001</v>
      </c>
      <c r="K79" s="83">
        <f>_xlfn.IFNA(INDEX('Shultis Faw'!$B$2:$B$26,MATCH($C79,'Shultis Faw'!$A$2:$A$26,1))+($C79-INDEX('Shultis Faw'!$A$2:$A$26,MATCH($C79,'Shultis Faw'!$A$2:$A$26,1)))*(INDEX('Shultis Faw'!$B$2:$B$26,MATCH($C79,'Shultis Faw'!$A$2:$A$26,1)+1)-INDEX('Shultis Faw'!$B$2:$B$26,MATCH($C79,'Shultis Faw'!$A$2:$A$26,1)))/(INDEX('Shultis Faw'!$A$2:$A$26,MATCH($C79,'Shultis Faw'!$A$2:$A$26,1)+1)-INDEX('Shultis Faw'!$A$2:$A$26,MATCH($C79,'Shultis Faw'!$A$2:$A$26,1))),$C79*'Shultis Faw'!$B$2/'Shultis Faw'!$A$2)</f>
        <v>-0.12305475</v>
      </c>
      <c r="L79" s="83">
        <f>_xlfn.IFNA(INDEX('Shultis Faw'!$E$2:$E$26,MATCH($C79,'Shultis Faw'!$A$2:$A$26,1))+($C79-INDEX('Shultis Faw'!$A$2:$A$26,MATCH($C79,'Shultis Faw'!$A$2:$A$26,1)))*(INDEX('Shultis Faw'!$E$2:$E$26,MATCH($C79,'Shultis Faw'!$A$2:$A$26,1)+1)-INDEX('Shultis Faw'!$E$2:$E$26,MATCH($C79,'Shultis Faw'!$A$2:$A$26,1)))/(INDEX('Shultis Faw'!$A$2:$A$26,MATCH($C79,'Shultis Faw'!$A$2:$A$26,1)+1)-INDEX('Shultis Faw'!$A$2:$A$26,MATCH($C79,'Shultis Faw'!$A$2:$A$26,1))),$C79*'Shultis Faw'!$E$2/'Shultis Faw'!$A$2)</f>
        <v>4.9971649999999999E-2</v>
      </c>
      <c r="M79" s="83">
        <f>_xlfn.IFNA(INDEX('Shultis Faw'!$F$2:$F$26,MATCH($C79,'Shultis Faw'!$A$2:$A$26,1))+($C79-INDEX('Shultis Faw'!$A$2:$A$26,MATCH($C79,'Shultis Faw'!$A$2:$A$26,1)))*(INDEX('Shultis Faw'!$F$2:$F$26,MATCH($C79,'Shultis Faw'!$A$2:$A$26,1)+1)-INDEX('Shultis Faw'!$F$2:$F$26,MATCH($C79,'Shultis Faw'!$A$2:$A$26,1)))/(INDEX('Shultis Faw'!$A$2:$A$26,MATCH($C79,'Shultis Faw'!$A$2:$A$26,1)+1)-INDEX('Shultis Faw'!$A$2:$A$26,MATCH($C79,'Shultis Faw'!$A$2:$A$26,1))),$C79*'Shultis Faw'!$F$2/'Shultis Faw'!$A$2)</f>
        <v>14.2364675</v>
      </c>
      <c r="N79" s="83">
        <f>J79*(H79*'Externe blootstelling'!$D$23/2)^K79+L79*(TANH(((H79*'Externe blootstelling'!$D$23)/(2*M79))-2)-TANH(-2))/(1-TANH(-2))</f>
        <v>1.6146138164633919</v>
      </c>
      <c r="O79" s="83">
        <f>IF(N79=1,1+(I79-1)*H79*'Externe blootstelling'!$D$23/2,1+(I79-1)*(N79^(H79*'Externe blootstelling'!$D$23/2)-1)/(N79-1))</f>
        <v>2.9872383969372276</v>
      </c>
      <c r="P79" s="67">
        <f>G79*EXP(-H79*'Externe blootstelling'!$D$23/2)*O79</f>
        <v>3.0036059621011085E-4</v>
      </c>
      <c r="Q79" s="68"/>
    </row>
    <row r="80" spans="1:17" x14ac:dyDescent="0.2">
      <c r="A80" s="217"/>
      <c r="B80" s="64" t="s">
        <v>104</v>
      </c>
      <c r="C80" s="65">
        <v>0.61551</v>
      </c>
      <c r="D80" s="66">
        <f t="shared" si="4"/>
        <v>9.848159999999999E-14</v>
      </c>
      <c r="E80" s="66">
        <v>5.0000000000000004E-6</v>
      </c>
      <c r="F80" s="66">
        <f>_xlfn.IFNA(INDEX('hp (pSv cm2)'!$B$2:$B$52,MATCH($C80,'hp (pSv cm2)'!$A$2:$A$52,1))+($C80-INDEX('hp (pSv cm2)'!$A$2:$A$52,MATCH($C80,'hp (pSv cm2)'!$A$2:$A$52,1)))*(INDEX('hp (pSv cm2)'!$B$2:$B$52,MATCH($C80,'hp (pSv cm2)'!$A$2:$A$52,1)+1)-INDEX('hp (pSv cm2)'!$B$2:$B$52,MATCH($C80,'hp (pSv cm2)'!$A$2:$A$52,1)))/(INDEX('hp (pSv cm2)'!$A$2:$A$52,MATCH($C80,'hp (pSv cm2)'!$A$2:$A$52,1)+1)-INDEX('hp (pSv cm2)'!$A$2:$A$52,MATCH($C80,'hp (pSv cm2)'!$A$2:$A$52,1))),$C80*'hp (pSv cm2)'!$B$2/'hp (pSv cm2)'!$A$2)</f>
        <v>2.9735910000000003</v>
      </c>
      <c r="G80" s="67">
        <f t="shared" si="5"/>
        <v>1.4867955000000003E-5</v>
      </c>
      <c r="H80" s="83">
        <f>_xlfn.IFNA(0.997*(INDEX('Mass attenuation coefficients'!$B$2:$B$37,MATCH($C80,'Mass attenuation coefficients'!$A$2:$A$37,1))+($C80-INDEX('Mass attenuation coefficients'!$A$2:$A$37,MATCH($C80,'Mass attenuation coefficients'!$A$2:$A$37,1)))*(INDEX('Mass attenuation coefficients'!$B$2:$B$37,MATCH($C80,'Mass attenuation coefficients'!$A$2:$A$37,1)+1)-INDEX('Mass attenuation coefficients'!$B$2:$B$37,MATCH($C80,'Mass attenuation coefficients'!$A$2:$A$37,1)))/(INDEX('Mass attenuation coefficients'!$A$2:$A$37,MATCH($C80,'Mass attenuation coefficients'!$A$2:$A$37,1)+1)-INDEX('Mass attenuation coefficients'!$A$2:$A$37,MATCH($C80,'Mass attenuation coefficients'!$A$2:$A$37,1)))),0.997*$C80*'Mass attenuation coefficients'!$B$2/'Mass attenuation coefficients'!$A$2)</f>
        <v>8.8447787711499998E-2</v>
      </c>
      <c r="I80" s="83">
        <f>_xlfn.IFNA(INDEX('Shultis Faw'!$C$2:$C$26,MATCH($C80,'Shultis Faw'!$A$2:$A$26,1))+($C80-INDEX('Shultis Faw'!$A$2:$A$26,MATCH($C80,'Shultis Faw'!$A$2:$A$26,1)))*(INDEX('Shultis Faw'!$C$2:$C$26,MATCH($C80,'Shultis Faw'!$A$2:$A$26,1)+1)-INDEX('Shultis Faw'!$C$2:$C$26,MATCH($C80,'Shultis Faw'!$A$2:$A$26,1)))/(INDEX('Shultis Faw'!$A$2:$A$26,MATCH($C80,'Shultis Faw'!$A$2:$A$26,1)+1)-INDEX('Shultis Faw'!$A$2:$A$26,MATCH($C80,'Shultis Faw'!$A$2:$A$26,1))),$C80*'Shultis Faw'!$C$2/'Shultis Faw'!$A$2)</f>
        <v>2.3642042499999998</v>
      </c>
      <c r="J80" s="83">
        <f>_xlfn.IFNA(INDEX('Shultis Faw'!$D$2:$D$26,MATCH($C80,'Shultis Faw'!$A$2:$A$26,1))+($C80-INDEX('Shultis Faw'!$A$2:$A$26,MATCH($C80,'Shultis Faw'!$A$2:$A$26,1)))*(INDEX('Shultis Faw'!$D$2:$D$26,MATCH($C80,'Shultis Faw'!$A$2:$A$26,1)+1)-INDEX('Shultis Faw'!$D$2:$D$26,MATCH($C80,'Shultis Faw'!$A$2:$A$26,1)))/(INDEX('Shultis Faw'!$A$2:$A$26,MATCH($C80,'Shultis Faw'!$A$2:$A$26,1)+1)-INDEX('Shultis Faw'!$A$2:$A$26,MATCH($C80,'Shultis Faw'!$A$2:$A$26,1))),$C80*'Shultis Faw'!$D$2/'Shultis Faw'!$A$2)</f>
        <v>1.66853075</v>
      </c>
      <c r="K80" s="83">
        <f>_xlfn.IFNA(INDEX('Shultis Faw'!$B$2:$B$26,MATCH($C80,'Shultis Faw'!$A$2:$A$26,1))+($C80-INDEX('Shultis Faw'!$A$2:$A$26,MATCH($C80,'Shultis Faw'!$A$2:$A$26,1)))*(INDEX('Shultis Faw'!$B$2:$B$26,MATCH($C80,'Shultis Faw'!$A$2:$A$26,1)+1)-INDEX('Shultis Faw'!$B$2:$B$26,MATCH($C80,'Shultis Faw'!$A$2:$A$26,1)))/(INDEX('Shultis Faw'!$A$2:$A$26,MATCH($C80,'Shultis Faw'!$A$2:$A$26,1)+1)-INDEX('Shultis Faw'!$A$2:$A$26,MATCH($C80,'Shultis Faw'!$A$2:$A$26,1))),$C80*'Shultis Faw'!$B$2/'Shultis Faw'!$A$2)</f>
        <v>-0.12252655</v>
      </c>
      <c r="L80" s="83">
        <f>_xlfn.IFNA(INDEX('Shultis Faw'!$E$2:$E$26,MATCH($C80,'Shultis Faw'!$A$2:$A$26,1))+($C80-INDEX('Shultis Faw'!$A$2:$A$26,MATCH($C80,'Shultis Faw'!$A$2:$A$26,1)))*(INDEX('Shultis Faw'!$E$2:$E$26,MATCH($C80,'Shultis Faw'!$A$2:$A$26,1)+1)-INDEX('Shultis Faw'!$E$2:$E$26,MATCH($C80,'Shultis Faw'!$A$2:$A$26,1)))/(INDEX('Shultis Faw'!$A$2:$A$26,MATCH($C80,'Shultis Faw'!$A$2:$A$26,1)+1)-INDEX('Shultis Faw'!$A$2:$A$26,MATCH($C80,'Shultis Faw'!$A$2:$A$26,1))),$C80*'Shultis Faw'!$E$2/'Shultis Faw'!$A$2)</f>
        <v>4.978817E-2</v>
      </c>
      <c r="M80" s="83">
        <f>_xlfn.IFNA(INDEX('Shultis Faw'!$F$2:$F$26,MATCH($C80,'Shultis Faw'!$A$2:$A$26,1))+($C80-INDEX('Shultis Faw'!$A$2:$A$26,MATCH($C80,'Shultis Faw'!$A$2:$A$26,1)))*(INDEX('Shultis Faw'!$F$2:$F$26,MATCH($C80,'Shultis Faw'!$A$2:$A$26,1)+1)-INDEX('Shultis Faw'!$F$2:$F$26,MATCH($C80,'Shultis Faw'!$A$2:$A$26,1)))/(INDEX('Shultis Faw'!$A$2:$A$26,MATCH($C80,'Shultis Faw'!$A$2:$A$26,1)+1)-INDEX('Shultis Faw'!$A$2:$A$26,MATCH($C80,'Shultis Faw'!$A$2:$A$26,1))),$C80*'Shultis Faw'!$F$2/'Shultis Faw'!$A$2)</f>
        <v>14.240081500000001</v>
      </c>
      <c r="N80" s="83">
        <f>J80*(H80*'Externe blootstelling'!$D$23/2)^K80+L80*(TANH(((H80*'Externe blootstelling'!$D$23)/(2*M80))-2)-TANH(-2))/(1-TANH(-2))</f>
        <v>1.6119065577087284</v>
      </c>
      <c r="O80" s="83">
        <f>IF(N80=1,1+(I80-1)*H80*'Externe blootstelling'!$D$23/2,1+(I80-1)*(N80^(H80*'Externe blootstelling'!$D$23/2)-1)/(N80-1))</f>
        <v>2.9708218673719498</v>
      </c>
      <c r="P80" s="67">
        <f>G80*EXP(-H80*'Externe blootstelling'!$D$23/2)*O80</f>
        <v>1.1720389855048395E-5</v>
      </c>
      <c r="Q80" s="68"/>
    </row>
    <row r="81" spans="1:17" x14ac:dyDescent="0.2">
      <c r="A81" s="217"/>
      <c r="B81" s="64" t="s">
        <v>104</v>
      </c>
      <c r="C81" s="65">
        <v>0.6157999999999999</v>
      </c>
      <c r="D81" s="66">
        <f t="shared" si="4"/>
        <v>9.8527999999999979E-14</v>
      </c>
      <c r="E81" s="66">
        <v>5.0000000000000004E-6</v>
      </c>
      <c r="F81" s="66">
        <f>_xlfn.IFNA(INDEX('hp (pSv cm2)'!$B$2:$B$52,MATCH($C81,'hp (pSv cm2)'!$A$2:$A$52,1))+($C81-INDEX('hp (pSv cm2)'!$A$2:$A$52,MATCH($C81,'hp (pSv cm2)'!$A$2:$A$52,1)))*(INDEX('hp (pSv cm2)'!$B$2:$B$52,MATCH($C81,'hp (pSv cm2)'!$A$2:$A$52,1)+1)-INDEX('hp (pSv cm2)'!$B$2:$B$52,MATCH($C81,'hp (pSv cm2)'!$A$2:$A$52,1)))/(INDEX('hp (pSv cm2)'!$A$2:$A$52,MATCH($C81,'hp (pSv cm2)'!$A$2:$A$52,1)+1)-INDEX('hp (pSv cm2)'!$A$2:$A$52,MATCH($C81,'hp (pSv cm2)'!$A$2:$A$52,1))),$C81*'hp (pSv cm2)'!$B$2/'hp (pSv cm2)'!$A$2)</f>
        <v>2.97478</v>
      </c>
      <c r="G81" s="67">
        <f t="shared" si="5"/>
        <v>1.4873900000000002E-5</v>
      </c>
      <c r="H81" s="83">
        <f>_xlfn.IFNA(0.997*(INDEX('Mass attenuation coefficients'!$B$2:$B$37,MATCH($C81,'Mass attenuation coefficients'!$A$2:$A$37,1))+($C81-INDEX('Mass attenuation coefficients'!$A$2:$A$37,MATCH($C81,'Mass attenuation coefficients'!$A$2:$A$37,1)))*(INDEX('Mass attenuation coefficients'!$B$2:$B$37,MATCH($C81,'Mass attenuation coefficients'!$A$2:$A$37,1)+1)-INDEX('Mass attenuation coefficients'!$B$2:$B$37,MATCH($C81,'Mass attenuation coefficients'!$A$2:$A$37,1)))/(INDEX('Mass attenuation coefficients'!$A$2:$A$37,MATCH($C81,'Mass attenuation coefficients'!$A$2:$A$37,1)+1)-INDEX('Mass attenuation coefficients'!$A$2:$A$37,MATCH($C81,'Mass attenuation coefficients'!$A$2:$A$37,1)))),0.997*$C81*'Mass attenuation coefficients'!$B$2/'Mass attenuation coefficients'!$A$2)</f>
        <v>8.8432015670000017E-2</v>
      </c>
      <c r="I81" s="83">
        <f>_xlfn.IFNA(INDEX('Shultis Faw'!$C$2:$C$26,MATCH($C81,'Shultis Faw'!$A$2:$A$26,1))+($C81-INDEX('Shultis Faw'!$A$2:$A$26,MATCH($C81,'Shultis Faw'!$A$2:$A$26,1)))*(INDEX('Shultis Faw'!$C$2:$C$26,MATCH($C81,'Shultis Faw'!$A$2:$A$26,1)+1)-INDEX('Shultis Faw'!$C$2:$C$26,MATCH($C81,'Shultis Faw'!$A$2:$A$26,1)))/(INDEX('Shultis Faw'!$A$2:$A$26,MATCH($C81,'Shultis Faw'!$A$2:$A$26,1)+1)-INDEX('Shultis Faw'!$A$2:$A$26,MATCH($C81,'Shultis Faw'!$A$2:$A$26,1))),$C81*'Shultis Faw'!$C$2/'Shultis Faw'!$A$2)</f>
        <v>2.3639649999999999</v>
      </c>
      <c r="J81" s="83">
        <f>_xlfn.IFNA(INDEX('Shultis Faw'!$D$2:$D$26,MATCH($C81,'Shultis Faw'!$A$2:$A$26,1))+($C81-INDEX('Shultis Faw'!$A$2:$A$26,MATCH($C81,'Shultis Faw'!$A$2:$A$26,1)))*(INDEX('Shultis Faw'!$D$2:$D$26,MATCH($C81,'Shultis Faw'!$A$2:$A$26,1)+1)-INDEX('Shultis Faw'!$D$2:$D$26,MATCH($C81,'Shultis Faw'!$A$2:$A$26,1)))/(INDEX('Shultis Faw'!$A$2:$A$26,MATCH($C81,'Shultis Faw'!$A$2:$A$26,1)+1)-INDEX('Shultis Faw'!$A$2:$A$26,MATCH($C81,'Shultis Faw'!$A$2:$A$26,1))),$C81*'Shultis Faw'!$D$2/'Shultis Faw'!$A$2)</f>
        <v>1.6683350000000001</v>
      </c>
      <c r="K81" s="83">
        <f>_xlfn.IFNA(INDEX('Shultis Faw'!$B$2:$B$26,MATCH($C81,'Shultis Faw'!$A$2:$A$26,1))+($C81-INDEX('Shultis Faw'!$A$2:$A$26,MATCH($C81,'Shultis Faw'!$A$2:$A$26,1)))*(INDEX('Shultis Faw'!$B$2:$B$26,MATCH($C81,'Shultis Faw'!$A$2:$A$26,1)+1)-INDEX('Shultis Faw'!$B$2:$B$26,MATCH($C81,'Shultis Faw'!$A$2:$A$26,1)))/(INDEX('Shultis Faw'!$A$2:$A$26,MATCH($C81,'Shultis Faw'!$A$2:$A$26,1)+1)-INDEX('Shultis Faw'!$A$2:$A$26,MATCH($C81,'Shultis Faw'!$A$2:$A$26,1))),$C81*'Shultis Faw'!$B$2/'Shultis Faw'!$A$2)</f>
        <v>-0.12249900000000001</v>
      </c>
      <c r="L81" s="83">
        <f>_xlfn.IFNA(INDEX('Shultis Faw'!$E$2:$E$26,MATCH($C81,'Shultis Faw'!$A$2:$A$26,1))+($C81-INDEX('Shultis Faw'!$A$2:$A$26,MATCH($C81,'Shultis Faw'!$A$2:$A$26,1)))*(INDEX('Shultis Faw'!$E$2:$E$26,MATCH($C81,'Shultis Faw'!$A$2:$A$26,1)+1)-INDEX('Shultis Faw'!$E$2:$E$26,MATCH($C81,'Shultis Faw'!$A$2:$A$26,1)))/(INDEX('Shultis Faw'!$A$2:$A$26,MATCH($C81,'Shultis Faw'!$A$2:$A$26,1)+1)-INDEX('Shultis Faw'!$A$2:$A$26,MATCH($C81,'Shultis Faw'!$A$2:$A$26,1))),$C81*'Shultis Faw'!$E$2/'Shultis Faw'!$A$2)</f>
        <v>4.9778599999999999E-2</v>
      </c>
      <c r="M81" s="83">
        <f>_xlfn.IFNA(INDEX('Shultis Faw'!$F$2:$F$26,MATCH($C81,'Shultis Faw'!$A$2:$A$26,1))+($C81-INDEX('Shultis Faw'!$A$2:$A$26,MATCH($C81,'Shultis Faw'!$A$2:$A$26,1)))*(INDEX('Shultis Faw'!$F$2:$F$26,MATCH($C81,'Shultis Faw'!$A$2:$A$26,1)+1)-INDEX('Shultis Faw'!$F$2:$F$26,MATCH($C81,'Shultis Faw'!$A$2:$A$26,1)))/(INDEX('Shultis Faw'!$A$2:$A$26,MATCH($C81,'Shultis Faw'!$A$2:$A$26,1)+1)-INDEX('Shultis Faw'!$A$2:$A$26,MATCH($C81,'Shultis Faw'!$A$2:$A$26,1))),$C81*'Shultis Faw'!$F$2/'Shultis Faw'!$A$2)</f>
        <v>14.240270000000001</v>
      </c>
      <c r="N81" s="83">
        <f>J81*(H81*'Externe blootstelling'!$D$23/2)^K81+L81*(TANH(((H81*'Externe blootstelling'!$D$23)/(2*M81))-2)-TANH(-2))/(1-TANH(-2))</f>
        <v>1.6117651567785525</v>
      </c>
      <c r="O81" s="83">
        <f>IF(N81=1,1+(I81-1)*H81*'Externe blootstelling'!$D$23/2,1+(I81-1)*(N81^(H81*'Externe blootstelling'!$D$23/2)-1)/(N81-1))</f>
        <v>2.969968552284775</v>
      </c>
      <c r="P81" s="67">
        <f>G81*EXP(-H81*'Externe blootstelling'!$D$23/2)*O81</f>
        <v>1.1724481931033805E-5</v>
      </c>
      <c r="Q81" s="68"/>
    </row>
    <row r="82" spans="1:17" x14ac:dyDescent="0.2">
      <c r="A82" s="217"/>
      <c r="B82" s="64" t="s">
        <v>104</v>
      </c>
      <c r="C82" s="65">
        <v>0.6179</v>
      </c>
      <c r="D82" s="66">
        <f t="shared" si="4"/>
        <v>9.8863999999999994E-14</v>
      </c>
      <c r="E82" s="66">
        <v>6.7000000000000002E-6</v>
      </c>
      <c r="F82" s="66">
        <f>_xlfn.IFNA(INDEX('hp (pSv cm2)'!$B$2:$B$52,MATCH($C82,'hp (pSv cm2)'!$A$2:$A$52,1))+($C82-INDEX('hp (pSv cm2)'!$A$2:$A$52,MATCH($C82,'hp (pSv cm2)'!$A$2:$A$52,1)))*(INDEX('hp (pSv cm2)'!$B$2:$B$52,MATCH($C82,'hp (pSv cm2)'!$A$2:$A$52,1)+1)-INDEX('hp (pSv cm2)'!$B$2:$B$52,MATCH($C82,'hp (pSv cm2)'!$A$2:$A$52,1)))/(INDEX('hp (pSv cm2)'!$A$2:$A$52,MATCH($C82,'hp (pSv cm2)'!$A$2:$A$52,1)+1)-INDEX('hp (pSv cm2)'!$A$2:$A$52,MATCH($C82,'hp (pSv cm2)'!$A$2:$A$52,1))),$C82*'hp (pSv cm2)'!$B$2/'hp (pSv cm2)'!$A$2)</f>
        <v>2.98339</v>
      </c>
      <c r="G82" s="67">
        <f t="shared" si="5"/>
        <v>1.9988712999999999E-5</v>
      </c>
      <c r="H82" s="83">
        <f>_xlfn.IFNA(0.997*(INDEX('Mass attenuation coefficients'!$B$2:$B$37,MATCH($C82,'Mass attenuation coefficients'!$A$2:$A$37,1))+($C82-INDEX('Mass attenuation coefficients'!$A$2:$A$37,MATCH($C82,'Mass attenuation coefficients'!$A$2:$A$37,1)))*(INDEX('Mass attenuation coefficients'!$B$2:$B$37,MATCH($C82,'Mass attenuation coefficients'!$A$2:$A$37,1)+1)-INDEX('Mass attenuation coefficients'!$B$2:$B$37,MATCH($C82,'Mass attenuation coefficients'!$A$2:$A$37,1)))/(INDEX('Mass attenuation coefficients'!$A$2:$A$37,MATCH($C82,'Mass attenuation coefficients'!$A$2:$A$37,1)+1)-INDEX('Mass attenuation coefficients'!$A$2:$A$37,MATCH($C82,'Mass attenuation coefficients'!$A$2:$A$37,1)))),0.997*$C82*'Mass attenuation coefficients'!$B$2/'Mass attenuation coefficients'!$A$2)</f>
        <v>8.8317804335E-2</v>
      </c>
      <c r="I82" s="83">
        <f>_xlfn.IFNA(INDEX('Shultis Faw'!$C$2:$C$26,MATCH($C82,'Shultis Faw'!$A$2:$A$26,1))+($C82-INDEX('Shultis Faw'!$A$2:$A$26,MATCH($C82,'Shultis Faw'!$A$2:$A$26,1)))*(INDEX('Shultis Faw'!$C$2:$C$26,MATCH($C82,'Shultis Faw'!$A$2:$A$26,1)+1)-INDEX('Shultis Faw'!$C$2:$C$26,MATCH($C82,'Shultis Faw'!$A$2:$A$26,1)))/(INDEX('Shultis Faw'!$A$2:$A$26,MATCH($C82,'Shultis Faw'!$A$2:$A$26,1)+1)-INDEX('Shultis Faw'!$A$2:$A$26,MATCH($C82,'Shultis Faw'!$A$2:$A$26,1))),$C82*'Shultis Faw'!$C$2/'Shultis Faw'!$A$2)</f>
        <v>2.3622324999999997</v>
      </c>
      <c r="J82" s="83">
        <f>_xlfn.IFNA(INDEX('Shultis Faw'!$D$2:$D$26,MATCH($C82,'Shultis Faw'!$A$2:$A$26,1))+($C82-INDEX('Shultis Faw'!$A$2:$A$26,MATCH($C82,'Shultis Faw'!$A$2:$A$26,1)))*(INDEX('Shultis Faw'!$D$2:$D$26,MATCH($C82,'Shultis Faw'!$A$2:$A$26,1)+1)-INDEX('Shultis Faw'!$D$2:$D$26,MATCH($C82,'Shultis Faw'!$A$2:$A$26,1)))/(INDEX('Shultis Faw'!$A$2:$A$26,MATCH($C82,'Shultis Faw'!$A$2:$A$26,1)+1)-INDEX('Shultis Faw'!$A$2:$A$26,MATCH($C82,'Shultis Faw'!$A$2:$A$26,1))),$C82*'Shultis Faw'!$D$2/'Shultis Faw'!$A$2)</f>
        <v>1.6669175000000001</v>
      </c>
      <c r="K82" s="83">
        <f>_xlfn.IFNA(INDEX('Shultis Faw'!$B$2:$B$26,MATCH($C82,'Shultis Faw'!$A$2:$A$26,1))+($C82-INDEX('Shultis Faw'!$A$2:$A$26,MATCH($C82,'Shultis Faw'!$A$2:$A$26,1)))*(INDEX('Shultis Faw'!$B$2:$B$26,MATCH($C82,'Shultis Faw'!$A$2:$A$26,1)+1)-INDEX('Shultis Faw'!$B$2:$B$26,MATCH($C82,'Shultis Faw'!$A$2:$A$26,1)))/(INDEX('Shultis Faw'!$A$2:$A$26,MATCH($C82,'Shultis Faw'!$A$2:$A$26,1)+1)-INDEX('Shultis Faw'!$A$2:$A$26,MATCH($C82,'Shultis Faw'!$A$2:$A$26,1))),$C82*'Shultis Faw'!$B$2/'Shultis Faw'!$A$2)</f>
        <v>-0.12229949999999999</v>
      </c>
      <c r="L82" s="83">
        <f>_xlfn.IFNA(INDEX('Shultis Faw'!$E$2:$E$26,MATCH($C82,'Shultis Faw'!$A$2:$A$26,1))+($C82-INDEX('Shultis Faw'!$A$2:$A$26,MATCH($C82,'Shultis Faw'!$A$2:$A$26,1)))*(INDEX('Shultis Faw'!$E$2:$E$26,MATCH($C82,'Shultis Faw'!$A$2:$A$26,1)+1)-INDEX('Shultis Faw'!$E$2:$E$26,MATCH($C82,'Shultis Faw'!$A$2:$A$26,1)))/(INDEX('Shultis Faw'!$A$2:$A$26,MATCH($C82,'Shultis Faw'!$A$2:$A$26,1)+1)-INDEX('Shultis Faw'!$A$2:$A$26,MATCH($C82,'Shultis Faw'!$A$2:$A$26,1))),$C82*'Shultis Faw'!$E$2/'Shultis Faw'!$A$2)</f>
        <v>4.9709299999999998E-2</v>
      </c>
      <c r="M82" s="83">
        <f>_xlfn.IFNA(INDEX('Shultis Faw'!$F$2:$F$26,MATCH($C82,'Shultis Faw'!$A$2:$A$26,1))+($C82-INDEX('Shultis Faw'!$A$2:$A$26,MATCH($C82,'Shultis Faw'!$A$2:$A$26,1)))*(INDEX('Shultis Faw'!$F$2:$F$26,MATCH($C82,'Shultis Faw'!$A$2:$A$26,1)+1)-INDEX('Shultis Faw'!$F$2:$F$26,MATCH($C82,'Shultis Faw'!$A$2:$A$26,1)))/(INDEX('Shultis Faw'!$A$2:$A$26,MATCH($C82,'Shultis Faw'!$A$2:$A$26,1)+1)-INDEX('Shultis Faw'!$A$2:$A$26,MATCH($C82,'Shultis Faw'!$A$2:$A$26,1))),$C82*'Shultis Faw'!$F$2/'Shultis Faw'!$A$2)</f>
        <v>14.241635</v>
      </c>
      <c r="N82" s="83">
        <f>J82*(H82*'Externe blootstelling'!$D$23/2)^K82+L82*(TANH(((H82*'Externe blootstelling'!$D$23)/(2*M82))-2)-TANH(-2))/(1-TANH(-2))</f>
        <v>1.6107406421634602</v>
      </c>
      <c r="O82" s="83">
        <f>IF(N82=1,1+(I82-1)*H82*'Externe blootstelling'!$D$23/2,1+(I82-1)*(N82^(H82*'Externe blootstelling'!$D$23/2)-1)/(N82-1))</f>
        <v>2.9637980552642524</v>
      </c>
      <c r="P82" s="67">
        <f>G82*EXP(-H82*'Externe blootstelling'!$D$23/2)*O82</f>
        <v>1.5750502536379992E-5</v>
      </c>
      <c r="Q82" s="68"/>
    </row>
    <row r="83" spans="1:17" x14ac:dyDescent="0.2">
      <c r="A83" s="217"/>
      <c r="B83" s="64" t="s">
        <v>104</v>
      </c>
      <c r="C83" s="65">
        <v>0.63049999999999995</v>
      </c>
      <c r="D83" s="66">
        <f t="shared" si="4"/>
        <v>1.0088E-13</v>
      </c>
      <c r="E83" s="66">
        <v>9.8999999999999984E-7</v>
      </c>
      <c r="F83" s="66">
        <f>_xlfn.IFNA(INDEX('hp (pSv cm2)'!$B$2:$B$52,MATCH($C83,'hp (pSv cm2)'!$A$2:$A$52,1))+($C83-INDEX('hp (pSv cm2)'!$A$2:$A$52,MATCH($C83,'hp (pSv cm2)'!$A$2:$A$52,1)))*(INDEX('hp (pSv cm2)'!$B$2:$B$52,MATCH($C83,'hp (pSv cm2)'!$A$2:$A$52,1)+1)-INDEX('hp (pSv cm2)'!$B$2:$B$52,MATCH($C83,'hp (pSv cm2)'!$A$2:$A$52,1)))/(INDEX('hp (pSv cm2)'!$A$2:$A$52,MATCH($C83,'hp (pSv cm2)'!$A$2:$A$52,1)+1)-INDEX('hp (pSv cm2)'!$A$2:$A$52,MATCH($C83,'hp (pSv cm2)'!$A$2:$A$52,1))),$C83*'hp (pSv cm2)'!$B$2/'hp (pSv cm2)'!$A$2)</f>
        <v>3.03505</v>
      </c>
      <c r="G83" s="67">
        <f t="shared" si="5"/>
        <v>3.0046994999999997E-6</v>
      </c>
      <c r="H83" s="83">
        <f>_xlfn.IFNA(0.997*(INDEX('Mass attenuation coefficients'!$B$2:$B$37,MATCH($C83,'Mass attenuation coefficients'!$A$2:$A$37,1))+($C83-INDEX('Mass attenuation coefficients'!$A$2:$A$37,MATCH($C83,'Mass attenuation coefficients'!$A$2:$A$37,1)))*(INDEX('Mass attenuation coefficients'!$B$2:$B$37,MATCH($C83,'Mass attenuation coefficients'!$A$2:$A$37,1)+1)-INDEX('Mass attenuation coefficients'!$B$2:$B$37,MATCH($C83,'Mass attenuation coefficients'!$A$2:$A$37,1)))/(INDEX('Mass attenuation coefficients'!$A$2:$A$37,MATCH($C83,'Mass attenuation coefficients'!$A$2:$A$37,1)+1)-INDEX('Mass attenuation coefficients'!$A$2:$A$37,MATCH($C83,'Mass attenuation coefficients'!$A$2:$A$37,1)))),0.997*$C83*'Mass attenuation coefficients'!$B$2/'Mass attenuation coefficients'!$A$2)</f>
        <v>8.763253632500001E-2</v>
      </c>
      <c r="I83" s="83">
        <f>_xlfn.IFNA(INDEX('Shultis Faw'!$C$2:$C$26,MATCH($C83,'Shultis Faw'!$A$2:$A$26,1))+($C83-INDEX('Shultis Faw'!$A$2:$A$26,MATCH($C83,'Shultis Faw'!$A$2:$A$26,1)))*(INDEX('Shultis Faw'!$C$2:$C$26,MATCH($C83,'Shultis Faw'!$A$2:$A$26,1)+1)-INDEX('Shultis Faw'!$C$2:$C$26,MATCH($C83,'Shultis Faw'!$A$2:$A$26,1)))/(INDEX('Shultis Faw'!$A$2:$A$26,MATCH($C83,'Shultis Faw'!$A$2:$A$26,1)+1)-INDEX('Shultis Faw'!$A$2:$A$26,MATCH($C83,'Shultis Faw'!$A$2:$A$26,1))),$C83*'Shultis Faw'!$C$2/'Shultis Faw'!$A$2)</f>
        <v>2.3518374999999998</v>
      </c>
      <c r="J83" s="83">
        <f>_xlfn.IFNA(INDEX('Shultis Faw'!$D$2:$D$26,MATCH($C83,'Shultis Faw'!$A$2:$A$26,1))+($C83-INDEX('Shultis Faw'!$A$2:$A$26,MATCH($C83,'Shultis Faw'!$A$2:$A$26,1)))*(INDEX('Shultis Faw'!$D$2:$D$26,MATCH($C83,'Shultis Faw'!$A$2:$A$26,1)+1)-INDEX('Shultis Faw'!$D$2:$D$26,MATCH($C83,'Shultis Faw'!$A$2:$A$26,1)))/(INDEX('Shultis Faw'!$A$2:$A$26,MATCH($C83,'Shultis Faw'!$A$2:$A$26,1)+1)-INDEX('Shultis Faw'!$A$2:$A$26,MATCH($C83,'Shultis Faw'!$A$2:$A$26,1))),$C83*'Shultis Faw'!$D$2/'Shultis Faw'!$A$2)</f>
        <v>1.6584125000000001</v>
      </c>
      <c r="K83" s="83">
        <f>_xlfn.IFNA(INDEX('Shultis Faw'!$B$2:$B$26,MATCH($C83,'Shultis Faw'!$A$2:$A$26,1))+($C83-INDEX('Shultis Faw'!$A$2:$A$26,MATCH($C83,'Shultis Faw'!$A$2:$A$26,1)))*(INDEX('Shultis Faw'!$B$2:$B$26,MATCH($C83,'Shultis Faw'!$A$2:$A$26,1)+1)-INDEX('Shultis Faw'!$B$2:$B$26,MATCH($C83,'Shultis Faw'!$A$2:$A$26,1)))/(INDEX('Shultis Faw'!$A$2:$A$26,MATCH($C83,'Shultis Faw'!$A$2:$A$26,1)+1)-INDEX('Shultis Faw'!$A$2:$A$26,MATCH($C83,'Shultis Faw'!$A$2:$A$26,1))),$C83*'Shultis Faw'!$B$2/'Shultis Faw'!$A$2)</f>
        <v>-0.1211025</v>
      </c>
      <c r="L83" s="83">
        <f>_xlfn.IFNA(INDEX('Shultis Faw'!$E$2:$E$26,MATCH($C83,'Shultis Faw'!$A$2:$A$26,1))+($C83-INDEX('Shultis Faw'!$A$2:$A$26,MATCH($C83,'Shultis Faw'!$A$2:$A$26,1)))*(INDEX('Shultis Faw'!$E$2:$E$26,MATCH($C83,'Shultis Faw'!$A$2:$A$26,1)+1)-INDEX('Shultis Faw'!$E$2:$E$26,MATCH($C83,'Shultis Faw'!$A$2:$A$26,1)))/(INDEX('Shultis Faw'!$A$2:$A$26,MATCH($C83,'Shultis Faw'!$A$2:$A$26,1)+1)-INDEX('Shultis Faw'!$A$2:$A$26,MATCH($C83,'Shultis Faw'!$A$2:$A$26,1))),$C83*'Shultis Faw'!$E$2/'Shultis Faw'!$A$2)</f>
        <v>4.9293499999999997E-2</v>
      </c>
      <c r="M83" s="83">
        <f>_xlfn.IFNA(INDEX('Shultis Faw'!$F$2:$F$26,MATCH($C83,'Shultis Faw'!$A$2:$A$26,1))+($C83-INDEX('Shultis Faw'!$A$2:$A$26,MATCH($C83,'Shultis Faw'!$A$2:$A$26,1)))*(INDEX('Shultis Faw'!$F$2:$F$26,MATCH($C83,'Shultis Faw'!$A$2:$A$26,1)+1)-INDEX('Shultis Faw'!$F$2:$F$26,MATCH($C83,'Shultis Faw'!$A$2:$A$26,1)))/(INDEX('Shultis Faw'!$A$2:$A$26,MATCH($C83,'Shultis Faw'!$A$2:$A$26,1)+1)-INDEX('Shultis Faw'!$A$2:$A$26,MATCH($C83,'Shultis Faw'!$A$2:$A$26,1))),$C83*'Shultis Faw'!$F$2/'Shultis Faw'!$A$2)</f>
        <v>14.249825</v>
      </c>
      <c r="N83" s="83">
        <f>J83*(H83*'Externe blootstelling'!$D$23/2)^K83+L83*(TANH(((H83*'Externe blootstelling'!$D$23)/(2*M83))-2)-TANH(-2))/(1-TANH(-2))</f>
        <v>1.6045722679682652</v>
      </c>
      <c r="O83" s="83">
        <f>IF(N83=1,1+(I83-1)*H83*'Externe blootstelling'!$D$23/2,1+(I83-1)*(N83^(H83*'Externe blootstelling'!$D$23/2)-1)/(N83-1))</f>
        <v>2.927093727626326</v>
      </c>
      <c r="P83" s="67">
        <f>G83*EXP(-H83*'Externe blootstelling'!$D$23/2)*O83</f>
        <v>2.3624507817489909E-6</v>
      </c>
      <c r="Q83" s="68"/>
    </row>
    <row r="84" spans="1:17" x14ac:dyDescent="0.2">
      <c r="A84" s="217"/>
      <c r="B84" s="64" t="s">
        <v>104</v>
      </c>
      <c r="C84" s="65">
        <v>0.63479999999999992</v>
      </c>
      <c r="D84" s="66">
        <f t="shared" si="4"/>
        <v>1.0156799999999997E-13</v>
      </c>
      <c r="E84" s="66">
        <v>5.0000000000000004E-6</v>
      </c>
      <c r="F84" s="66">
        <f>_xlfn.IFNA(INDEX('hp (pSv cm2)'!$B$2:$B$52,MATCH($C84,'hp (pSv cm2)'!$A$2:$A$52,1))+($C84-INDEX('hp (pSv cm2)'!$A$2:$A$52,MATCH($C84,'hp (pSv cm2)'!$A$2:$A$52,1)))*(INDEX('hp (pSv cm2)'!$B$2:$B$52,MATCH($C84,'hp (pSv cm2)'!$A$2:$A$52,1)+1)-INDEX('hp (pSv cm2)'!$B$2:$B$52,MATCH($C84,'hp (pSv cm2)'!$A$2:$A$52,1)))/(INDEX('hp (pSv cm2)'!$A$2:$A$52,MATCH($C84,'hp (pSv cm2)'!$A$2:$A$52,1)+1)-INDEX('hp (pSv cm2)'!$A$2:$A$52,MATCH($C84,'hp (pSv cm2)'!$A$2:$A$52,1))),$C84*'hp (pSv cm2)'!$B$2/'hp (pSv cm2)'!$A$2)</f>
        <v>3.0526799999999996</v>
      </c>
      <c r="G84" s="67">
        <f t="shared" si="5"/>
        <v>1.52634E-5</v>
      </c>
      <c r="H84" s="83">
        <f>_xlfn.IFNA(0.997*(INDEX('Mass attenuation coefficients'!$B$2:$B$37,MATCH($C84,'Mass attenuation coefficients'!$A$2:$A$37,1))+($C84-INDEX('Mass attenuation coefficients'!$A$2:$A$37,MATCH($C84,'Mass attenuation coefficients'!$A$2:$A$37,1)))*(INDEX('Mass attenuation coefficients'!$B$2:$B$37,MATCH($C84,'Mass attenuation coefficients'!$A$2:$A$37,1)+1)-INDEX('Mass attenuation coefficients'!$B$2:$B$37,MATCH($C84,'Mass attenuation coefficients'!$A$2:$A$37,1)))/(INDEX('Mass attenuation coefficients'!$A$2:$A$37,MATCH($C84,'Mass attenuation coefficients'!$A$2:$A$37,1)+1)-INDEX('Mass attenuation coefficients'!$A$2:$A$37,MATCH($C84,'Mass attenuation coefficients'!$A$2:$A$37,1)))),0.997*$C84*'Mass attenuation coefficients'!$B$2/'Mass attenuation coefficients'!$A$2)</f>
        <v>8.7398675019999997E-2</v>
      </c>
      <c r="I84" s="83">
        <f>_xlfn.IFNA(INDEX('Shultis Faw'!$C$2:$C$26,MATCH($C84,'Shultis Faw'!$A$2:$A$26,1))+($C84-INDEX('Shultis Faw'!$A$2:$A$26,MATCH($C84,'Shultis Faw'!$A$2:$A$26,1)))*(INDEX('Shultis Faw'!$C$2:$C$26,MATCH($C84,'Shultis Faw'!$A$2:$A$26,1)+1)-INDEX('Shultis Faw'!$C$2:$C$26,MATCH($C84,'Shultis Faw'!$A$2:$A$26,1)))/(INDEX('Shultis Faw'!$A$2:$A$26,MATCH($C84,'Shultis Faw'!$A$2:$A$26,1)+1)-INDEX('Shultis Faw'!$A$2:$A$26,MATCH($C84,'Shultis Faw'!$A$2:$A$26,1))),$C84*'Shultis Faw'!$C$2/'Shultis Faw'!$A$2)</f>
        <v>2.34829</v>
      </c>
      <c r="J84" s="83">
        <f>_xlfn.IFNA(INDEX('Shultis Faw'!$D$2:$D$26,MATCH($C84,'Shultis Faw'!$A$2:$A$26,1))+($C84-INDEX('Shultis Faw'!$A$2:$A$26,MATCH($C84,'Shultis Faw'!$A$2:$A$26,1)))*(INDEX('Shultis Faw'!$D$2:$D$26,MATCH($C84,'Shultis Faw'!$A$2:$A$26,1)+1)-INDEX('Shultis Faw'!$D$2:$D$26,MATCH($C84,'Shultis Faw'!$A$2:$A$26,1)))/(INDEX('Shultis Faw'!$A$2:$A$26,MATCH($C84,'Shultis Faw'!$A$2:$A$26,1)+1)-INDEX('Shultis Faw'!$A$2:$A$26,MATCH($C84,'Shultis Faw'!$A$2:$A$26,1))),$C84*'Shultis Faw'!$D$2/'Shultis Faw'!$A$2)</f>
        <v>1.65551</v>
      </c>
      <c r="K84" s="83">
        <f>_xlfn.IFNA(INDEX('Shultis Faw'!$B$2:$B$26,MATCH($C84,'Shultis Faw'!$A$2:$A$26,1))+($C84-INDEX('Shultis Faw'!$A$2:$A$26,MATCH($C84,'Shultis Faw'!$A$2:$A$26,1)))*(INDEX('Shultis Faw'!$B$2:$B$26,MATCH($C84,'Shultis Faw'!$A$2:$A$26,1)+1)-INDEX('Shultis Faw'!$B$2:$B$26,MATCH($C84,'Shultis Faw'!$A$2:$A$26,1)))/(INDEX('Shultis Faw'!$A$2:$A$26,MATCH($C84,'Shultis Faw'!$A$2:$A$26,1)+1)-INDEX('Shultis Faw'!$A$2:$A$26,MATCH($C84,'Shultis Faw'!$A$2:$A$26,1))),$C84*'Shultis Faw'!$B$2/'Shultis Faw'!$A$2)</f>
        <v>-0.12069400000000001</v>
      </c>
      <c r="L84" s="83">
        <f>_xlfn.IFNA(INDEX('Shultis Faw'!$E$2:$E$26,MATCH($C84,'Shultis Faw'!$A$2:$A$26,1))+($C84-INDEX('Shultis Faw'!$A$2:$A$26,MATCH($C84,'Shultis Faw'!$A$2:$A$26,1)))*(INDEX('Shultis Faw'!$E$2:$E$26,MATCH($C84,'Shultis Faw'!$A$2:$A$26,1)+1)-INDEX('Shultis Faw'!$E$2:$E$26,MATCH($C84,'Shultis Faw'!$A$2:$A$26,1)))/(INDEX('Shultis Faw'!$A$2:$A$26,MATCH($C84,'Shultis Faw'!$A$2:$A$26,1)+1)-INDEX('Shultis Faw'!$A$2:$A$26,MATCH($C84,'Shultis Faw'!$A$2:$A$26,1))),$C84*'Shultis Faw'!$E$2/'Shultis Faw'!$A$2)</f>
        <v>4.9151600000000004E-2</v>
      </c>
      <c r="M84" s="83">
        <f>_xlfn.IFNA(INDEX('Shultis Faw'!$F$2:$F$26,MATCH($C84,'Shultis Faw'!$A$2:$A$26,1))+($C84-INDEX('Shultis Faw'!$A$2:$A$26,MATCH($C84,'Shultis Faw'!$A$2:$A$26,1)))*(INDEX('Shultis Faw'!$F$2:$F$26,MATCH($C84,'Shultis Faw'!$A$2:$A$26,1)+1)-INDEX('Shultis Faw'!$F$2:$F$26,MATCH($C84,'Shultis Faw'!$A$2:$A$26,1)))/(INDEX('Shultis Faw'!$A$2:$A$26,MATCH($C84,'Shultis Faw'!$A$2:$A$26,1)+1)-INDEX('Shultis Faw'!$A$2:$A$26,MATCH($C84,'Shultis Faw'!$A$2:$A$26,1))),$C84*'Shultis Faw'!$F$2/'Shultis Faw'!$A$2)</f>
        <v>14.25262</v>
      </c>
      <c r="N84" s="83">
        <f>J84*(H84*'Externe blootstelling'!$D$23/2)^K84+L84*(TANH(((H84*'Externe blootstelling'!$D$23)/(2*M84))-2)-TANH(-2))/(1-TANH(-2))</f>
        <v>1.6024588369268442</v>
      </c>
      <c r="O84" s="83">
        <f>IF(N84=1,1+(I84-1)*H84*'Externe blootstelling'!$D$23/2,1+(I84-1)*(N84^(H84*'Externe blootstelling'!$D$23/2)-1)/(N84-1))</f>
        <v>2.9146918213185211</v>
      </c>
      <c r="P84" s="67">
        <f>G84*EXP(-H84*'Externe blootstelling'!$D$23/2)*O84</f>
        <v>1.1992024130277098E-5</v>
      </c>
      <c r="Q84" s="68"/>
    </row>
    <row r="85" spans="1:17" x14ac:dyDescent="0.2">
      <c r="A85" s="217"/>
      <c r="B85" s="64" t="s">
        <v>104</v>
      </c>
      <c r="C85" s="65">
        <v>0.63649999999999995</v>
      </c>
      <c r="D85" s="66">
        <f t="shared" si="4"/>
        <v>1.0184E-13</v>
      </c>
      <c r="E85" s="66">
        <v>1.95E-5</v>
      </c>
      <c r="F85" s="66">
        <f>_xlfn.IFNA(INDEX('hp (pSv cm2)'!$B$2:$B$52,MATCH($C85,'hp (pSv cm2)'!$A$2:$A$52,1))+($C85-INDEX('hp (pSv cm2)'!$A$2:$A$52,MATCH($C85,'hp (pSv cm2)'!$A$2:$A$52,1)))*(INDEX('hp (pSv cm2)'!$B$2:$B$52,MATCH($C85,'hp (pSv cm2)'!$A$2:$A$52,1)+1)-INDEX('hp (pSv cm2)'!$B$2:$B$52,MATCH($C85,'hp (pSv cm2)'!$A$2:$A$52,1)))/(INDEX('hp (pSv cm2)'!$A$2:$A$52,MATCH($C85,'hp (pSv cm2)'!$A$2:$A$52,1)+1)-INDEX('hp (pSv cm2)'!$A$2:$A$52,MATCH($C85,'hp (pSv cm2)'!$A$2:$A$52,1))),$C85*'hp (pSv cm2)'!$B$2/'hp (pSv cm2)'!$A$2)</f>
        <v>3.05965</v>
      </c>
      <c r="G85" s="67">
        <f t="shared" si="5"/>
        <v>5.9663175E-5</v>
      </c>
      <c r="H85" s="83">
        <f>_xlfn.IFNA(0.997*(INDEX('Mass attenuation coefficients'!$B$2:$B$37,MATCH($C85,'Mass attenuation coefficients'!$A$2:$A$37,1))+($C85-INDEX('Mass attenuation coefficients'!$A$2:$A$37,MATCH($C85,'Mass attenuation coefficients'!$A$2:$A$37,1)))*(INDEX('Mass attenuation coefficients'!$B$2:$B$37,MATCH($C85,'Mass attenuation coefficients'!$A$2:$A$37,1)+1)-INDEX('Mass attenuation coefficients'!$B$2:$B$37,MATCH($C85,'Mass attenuation coefficients'!$A$2:$A$37,1)))/(INDEX('Mass attenuation coefficients'!$A$2:$A$37,MATCH($C85,'Mass attenuation coefficients'!$A$2:$A$37,1)+1)-INDEX('Mass attenuation coefficients'!$A$2:$A$37,MATCH($C85,'Mass attenuation coefficients'!$A$2:$A$37,1)))),0.997*$C85*'Mass attenuation coefficients'!$B$2/'Mass attenuation coefficients'!$A$2)</f>
        <v>8.730621822500001E-2</v>
      </c>
      <c r="I85" s="83">
        <f>_xlfn.IFNA(INDEX('Shultis Faw'!$C$2:$C$26,MATCH($C85,'Shultis Faw'!$A$2:$A$26,1))+($C85-INDEX('Shultis Faw'!$A$2:$A$26,MATCH($C85,'Shultis Faw'!$A$2:$A$26,1)))*(INDEX('Shultis Faw'!$C$2:$C$26,MATCH($C85,'Shultis Faw'!$A$2:$A$26,1)+1)-INDEX('Shultis Faw'!$C$2:$C$26,MATCH($C85,'Shultis Faw'!$A$2:$A$26,1)))/(INDEX('Shultis Faw'!$A$2:$A$26,MATCH($C85,'Shultis Faw'!$A$2:$A$26,1)+1)-INDEX('Shultis Faw'!$A$2:$A$26,MATCH($C85,'Shultis Faw'!$A$2:$A$26,1))),$C85*'Shultis Faw'!$C$2/'Shultis Faw'!$A$2)</f>
        <v>2.3468874999999998</v>
      </c>
      <c r="J85" s="83">
        <f>_xlfn.IFNA(INDEX('Shultis Faw'!$D$2:$D$26,MATCH($C85,'Shultis Faw'!$A$2:$A$26,1))+($C85-INDEX('Shultis Faw'!$A$2:$A$26,MATCH($C85,'Shultis Faw'!$A$2:$A$26,1)))*(INDEX('Shultis Faw'!$D$2:$D$26,MATCH($C85,'Shultis Faw'!$A$2:$A$26,1)+1)-INDEX('Shultis Faw'!$D$2:$D$26,MATCH($C85,'Shultis Faw'!$A$2:$A$26,1)))/(INDEX('Shultis Faw'!$A$2:$A$26,MATCH($C85,'Shultis Faw'!$A$2:$A$26,1)+1)-INDEX('Shultis Faw'!$A$2:$A$26,MATCH($C85,'Shultis Faw'!$A$2:$A$26,1))),$C85*'Shultis Faw'!$D$2/'Shultis Faw'!$A$2)</f>
        <v>1.6543625000000002</v>
      </c>
      <c r="K85" s="83">
        <f>_xlfn.IFNA(INDEX('Shultis Faw'!$B$2:$B$26,MATCH($C85,'Shultis Faw'!$A$2:$A$26,1))+($C85-INDEX('Shultis Faw'!$A$2:$A$26,MATCH($C85,'Shultis Faw'!$A$2:$A$26,1)))*(INDEX('Shultis Faw'!$B$2:$B$26,MATCH($C85,'Shultis Faw'!$A$2:$A$26,1)+1)-INDEX('Shultis Faw'!$B$2:$B$26,MATCH($C85,'Shultis Faw'!$A$2:$A$26,1)))/(INDEX('Shultis Faw'!$A$2:$A$26,MATCH($C85,'Shultis Faw'!$A$2:$A$26,1)+1)-INDEX('Shultis Faw'!$A$2:$A$26,MATCH($C85,'Shultis Faw'!$A$2:$A$26,1))),$C85*'Shultis Faw'!$B$2/'Shultis Faw'!$A$2)</f>
        <v>-0.1205325</v>
      </c>
      <c r="L85" s="83">
        <f>_xlfn.IFNA(INDEX('Shultis Faw'!$E$2:$E$26,MATCH($C85,'Shultis Faw'!$A$2:$A$26,1))+($C85-INDEX('Shultis Faw'!$A$2:$A$26,MATCH($C85,'Shultis Faw'!$A$2:$A$26,1)))*(INDEX('Shultis Faw'!$E$2:$E$26,MATCH($C85,'Shultis Faw'!$A$2:$A$26,1)+1)-INDEX('Shultis Faw'!$E$2:$E$26,MATCH($C85,'Shultis Faw'!$A$2:$A$26,1)))/(INDEX('Shultis Faw'!$A$2:$A$26,MATCH($C85,'Shultis Faw'!$A$2:$A$26,1)+1)-INDEX('Shultis Faw'!$A$2:$A$26,MATCH($C85,'Shultis Faw'!$A$2:$A$26,1))),$C85*'Shultis Faw'!$E$2/'Shultis Faw'!$A$2)</f>
        <v>4.90955E-2</v>
      </c>
      <c r="M85" s="83">
        <f>_xlfn.IFNA(INDEX('Shultis Faw'!$F$2:$F$26,MATCH($C85,'Shultis Faw'!$A$2:$A$26,1))+($C85-INDEX('Shultis Faw'!$A$2:$A$26,MATCH($C85,'Shultis Faw'!$A$2:$A$26,1)))*(INDEX('Shultis Faw'!$F$2:$F$26,MATCH($C85,'Shultis Faw'!$A$2:$A$26,1)+1)-INDEX('Shultis Faw'!$F$2:$F$26,MATCH($C85,'Shultis Faw'!$A$2:$A$26,1)))/(INDEX('Shultis Faw'!$A$2:$A$26,MATCH($C85,'Shultis Faw'!$A$2:$A$26,1)+1)-INDEX('Shultis Faw'!$A$2:$A$26,MATCH($C85,'Shultis Faw'!$A$2:$A$26,1))),$C85*'Shultis Faw'!$F$2/'Shultis Faw'!$A$2)</f>
        <v>14.253725000000001</v>
      </c>
      <c r="N85" s="83">
        <f>J85*(H85*'Externe blootstelling'!$D$23/2)^K85+L85*(TANH(((H85*'Externe blootstelling'!$D$23)/(2*M85))-2)-TANH(-2))/(1-TANH(-2))</f>
        <v>1.6016221223792142</v>
      </c>
      <c r="O85" s="83">
        <f>IF(N85=1,1+(I85-1)*H85*'Externe blootstelling'!$D$23/2,1+(I85-1)*(N85^(H85*'Externe blootstelling'!$D$23/2)-1)/(N85-1))</f>
        <v>2.9098060551861504</v>
      </c>
      <c r="P85" s="67">
        <f>G85*EXP(-H85*'Externe blootstelling'!$D$23/2)*O85</f>
        <v>4.6862048797378505E-5</v>
      </c>
      <c r="Q85" s="68"/>
    </row>
    <row r="86" spans="1:17" x14ac:dyDescent="0.2">
      <c r="A86" s="217"/>
      <c r="B86" s="64" t="s">
        <v>104</v>
      </c>
      <c r="C86" s="65">
        <v>0.65721000000000007</v>
      </c>
      <c r="D86" s="66">
        <f t="shared" si="4"/>
        <v>1.0515360000000001E-13</v>
      </c>
      <c r="E86" s="66">
        <v>3.7000000000000002E-6</v>
      </c>
      <c r="F86" s="66">
        <f>_xlfn.IFNA(INDEX('hp (pSv cm2)'!$B$2:$B$52,MATCH($C86,'hp (pSv cm2)'!$A$2:$A$52,1))+($C86-INDEX('hp (pSv cm2)'!$A$2:$A$52,MATCH($C86,'hp (pSv cm2)'!$A$2:$A$52,1)))*(INDEX('hp (pSv cm2)'!$B$2:$B$52,MATCH($C86,'hp (pSv cm2)'!$A$2:$A$52,1)+1)-INDEX('hp (pSv cm2)'!$B$2:$B$52,MATCH($C86,'hp (pSv cm2)'!$A$2:$A$52,1)))/(INDEX('hp (pSv cm2)'!$A$2:$A$52,MATCH($C86,'hp (pSv cm2)'!$A$2:$A$52,1)+1)-INDEX('hp (pSv cm2)'!$A$2:$A$52,MATCH($C86,'hp (pSv cm2)'!$A$2:$A$52,1))),$C86*'hp (pSv cm2)'!$B$2/'hp (pSv cm2)'!$A$2)</f>
        <v>3.1445610000000004</v>
      </c>
      <c r="G86" s="67">
        <f t="shared" si="5"/>
        <v>1.1634875700000002E-5</v>
      </c>
      <c r="H86" s="83">
        <f>_xlfn.IFNA(0.997*(INDEX('Mass attenuation coefficients'!$B$2:$B$37,MATCH($C86,'Mass attenuation coefficients'!$A$2:$A$37,1))+($C86-INDEX('Mass attenuation coefficients'!$A$2:$A$37,MATCH($C86,'Mass attenuation coefficients'!$A$2:$A$37,1)))*(INDEX('Mass attenuation coefficients'!$B$2:$B$37,MATCH($C86,'Mass attenuation coefficients'!$A$2:$A$37,1)+1)-INDEX('Mass attenuation coefficients'!$B$2:$B$37,MATCH($C86,'Mass attenuation coefficients'!$A$2:$A$37,1)))/(INDEX('Mass attenuation coefficients'!$A$2:$A$37,MATCH($C86,'Mass attenuation coefficients'!$A$2:$A$37,1)+1)-INDEX('Mass attenuation coefficients'!$A$2:$A$37,MATCH($C86,'Mass attenuation coefficients'!$A$2:$A$37,1)))),0.997*$C86*'Mass attenuation coefficients'!$B$2/'Mass attenuation coefficients'!$A$2)</f>
        <v>8.6179876916500003E-2</v>
      </c>
      <c r="I86" s="83">
        <f>_xlfn.IFNA(INDEX('Shultis Faw'!$C$2:$C$26,MATCH($C86,'Shultis Faw'!$A$2:$A$26,1))+($C86-INDEX('Shultis Faw'!$A$2:$A$26,MATCH($C86,'Shultis Faw'!$A$2:$A$26,1)))*(INDEX('Shultis Faw'!$C$2:$C$26,MATCH($C86,'Shultis Faw'!$A$2:$A$26,1)+1)-INDEX('Shultis Faw'!$C$2:$C$26,MATCH($C86,'Shultis Faw'!$A$2:$A$26,1)))/(INDEX('Shultis Faw'!$A$2:$A$26,MATCH($C86,'Shultis Faw'!$A$2:$A$26,1)+1)-INDEX('Shultis Faw'!$A$2:$A$26,MATCH($C86,'Shultis Faw'!$A$2:$A$26,1))),$C86*'Shultis Faw'!$C$2/'Shultis Faw'!$A$2)</f>
        <v>2.3298017499999997</v>
      </c>
      <c r="J86" s="83">
        <f>_xlfn.IFNA(INDEX('Shultis Faw'!$D$2:$D$26,MATCH($C86,'Shultis Faw'!$A$2:$A$26,1))+($C86-INDEX('Shultis Faw'!$A$2:$A$26,MATCH($C86,'Shultis Faw'!$A$2:$A$26,1)))*(INDEX('Shultis Faw'!$D$2:$D$26,MATCH($C86,'Shultis Faw'!$A$2:$A$26,1)+1)-INDEX('Shultis Faw'!$D$2:$D$26,MATCH($C86,'Shultis Faw'!$A$2:$A$26,1)))/(INDEX('Shultis Faw'!$A$2:$A$26,MATCH($C86,'Shultis Faw'!$A$2:$A$26,1)+1)-INDEX('Shultis Faw'!$A$2:$A$26,MATCH($C86,'Shultis Faw'!$A$2:$A$26,1))),$C86*'Shultis Faw'!$D$2/'Shultis Faw'!$A$2)</f>
        <v>1.64038325</v>
      </c>
      <c r="K86" s="83">
        <f>_xlfn.IFNA(INDEX('Shultis Faw'!$B$2:$B$26,MATCH($C86,'Shultis Faw'!$A$2:$A$26,1))+($C86-INDEX('Shultis Faw'!$A$2:$A$26,MATCH($C86,'Shultis Faw'!$A$2:$A$26,1)))*(INDEX('Shultis Faw'!$B$2:$B$26,MATCH($C86,'Shultis Faw'!$A$2:$A$26,1)+1)-INDEX('Shultis Faw'!$B$2:$B$26,MATCH($C86,'Shultis Faw'!$A$2:$A$26,1)))/(INDEX('Shultis Faw'!$A$2:$A$26,MATCH($C86,'Shultis Faw'!$A$2:$A$26,1)+1)-INDEX('Shultis Faw'!$A$2:$A$26,MATCH($C86,'Shultis Faw'!$A$2:$A$26,1))),$C86*'Shultis Faw'!$B$2/'Shultis Faw'!$A$2)</f>
        <v>-0.11856504999999999</v>
      </c>
      <c r="L86" s="83">
        <f>_xlfn.IFNA(INDEX('Shultis Faw'!$E$2:$E$26,MATCH($C86,'Shultis Faw'!$A$2:$A$26,1))+($C86-INDEX('Shultis Faw'!$A$2:$A$26,MATCH($C86,'Shultis Faw'!$A$2:$A$26,1)))*(INDEX('Shultis Faw'!$E$2:$E$26,MATCH($C86,'Shultis Faw'!$A$2:$A$26,1)+1)-INDEX('Shultis Faw'!$E$2:$E$26,MATCH($C86,'Shultis Faw'!$A$2:$A$26,1)))/(INDEX('Shultis Faw'!$A$2:$A$26,MATCH($C86,'Shultis Faw'!$A$2:$A$26,1)+1)-INDEX('Shultis Faw'!$A$2:$A$26,MATCH($C86,'Shultis Faw'!$A$2:$A$26,1))),$C86*'Shultis Faw'!$E$2/'Shultis Faw'!$A$2)</f>
        <v>4.8412069999999995E-2</v>
      </c>
      <c r="M86" s="83">
        <f>_xlfn.IFNA(INDEX('Shultis Faw'!$F$2:$F$26,MATCH($C86,'Shultis Faw'!$A$2:$A$26,1))+($C86-INDEX('Shultis Faw'!$A$2:$A$26,MATCH($C86,'Shultis Faw'!$A$2:$A$26,1)))*(INDEX('Shultis Faw'!$F$2:$F$26,MATCH($C86,'Shultis Faw'!$A$2:$A$26,1)+1)-INDEX('Shultis Faw'!$F$2:$F$26,MATCH($C86,'Shultis Faw'!$A$2:$A$26,1)))/(INDEX('Shultis Faw'!$A$2:$A$26,MATCH($C86,'Shultis Faw'!$A$2:$A$26,1)+1)-INDEX('Shultis Faw'!$A$2:$A$26,MATCH($C86,'Shultis Faw'!$A$2:$A$26,1))),$C86*'Shultis Faw'!$F$2/'Shultis Faw'!$A$2)</f>
        <v>14.267186499999999</v>
      </c>
      <c r="N86" s="83">
        <f>J86*(H86*'Externe blootstelling'!$D$23/2)^K86+L86*(TANH(((H86*'Externe blootstelling'!$D$23)/(2*M86))-2)-TANH(-2))/(1-TANH(-2))</f>
        <v>1.5913756490118833</v>
      </c>
      <c r="O86" s="83">
        <f>IF(N86=1,1+(I86-1)*H86*'Externe blootstelling'!$D$23/2,1+(I86-1)*(N86^(H86*'Externe blootstelling'!$D$23/2)-1)/(N86-1))</f>
        <v>2.8510661879252792</v>
      </c>
      <c r="P86" s="67">
        <f>G86*EXP(-H86*'Externe blootstelling'!$D$23/2)*O86</f>
        <v>9.1066233097535975E-6</v>
      </c>
      <c r="Q86" s="68"/>
    </row>
    <row r="87" spans="1:17" x14ac:dyDescent="0.2">
      <c r="A87" s="217"/>
      <c r="B87" s="64" t="s">
        <v>104</v>
      </c>
      <c r="C87" s="65">
        <v>0.65754999999999997</v>
      </c>
      <c r="D87" s="66">
        <f t="shared" si="4"/>
        <v>1.0520799999999999E-13</v>
      </c>
      <c r="E87" s="66">
        <v>3.7000000000000002E-6</v>
      </c>
      <c r="F87" s="66">
        <f>_xlfn.IFNA(INDEX('hp (pSv cm2)'!$B$2:$B$52,MATCH($C87,'hp (pSv cm2)'!$A$2:$A$52,1))+($C87-INDEX('hp (pSv cm2)'!$A$2:$A$52,MATCH($C87,'hp (pSv cm2)'!$A$2:$A$52,1)))*(INDEX('hp (pSv cm2)'!$B$2:$B$52,MATCH($C87,'hp (pSv cm2)'!$A$2:$A$52,1)+1)-INDEX('hp (pSv cm2)'!$B$2:$B$52,MATCH($C87,'hp (pSv cm2)'!$A$2:$A$52,1)))/(INDEX('hp (pSv cm2)'!$A$2:$A$52,MATCH($C87,'hp (pSv cm2)'!$A$2:$A$52,1)+1)-INDEX('hp (pSv cm2)'!$A$2:$A$52,MATCH($C87,'hp (pSv cm2)'!$A$2:$A$52,1))),$C87*'hp (pSv cm2)'!$B$2/'hp (pSv cm2)'!$A$2)</f>
        <v>3.1459549999999998</v>
      </c>
      <c r="G87" s="67">
        <f t="shared" si="5"/>
        <v>1.16400335E-5</v>
      </c>
      <c r="H87" s="83">
        <f>_xlfn.IFNA(0.997*(INDEX('Mass attenuation coefficients'!$B$2:$B$37,MATCH($C87,'Mass attenuation coefficients'!$A$2:$A$37,1))+($C87-INDEX('Mass attenuation coefficients'!$A$2:$A$37,MATCH($C87,'Mass attenuation coefficients'!$A$2:$A$37,1)))*(INDEX('Mass attenuation coefficients'!$B$2:$B$37,MATCH($C87,'Mass attenuation coefficients'!$A$2:$A$37,1)+1)-INDEX('Mass attenuation coefficients'!$B$2:$B$37,MATCH($C87,'Mass attenuation coefficients'!$A$2:$A$37,1)))/(INDEX('Mass attenuation coefficients'!$A$2:$A$37,MATCH($C87,'Mass attenuation coefficients'!$A$2:$A$37,1)+1)-INDEX('Mass attenuation coefficients'!$A$2:$A$37,MATCH($C87,'Mass attenuation coefficients'!$A$2:$A$37,1)))),0.997*$C87*'Mass attenuation coefficients'!$B$2/'Mass attenuation coefficients'!$A$2)</f>
        <v>8.6161385557499998E-2</v>
      </c>
      <c r="I87" s="83">
        <f>_xlfn.IFNA(INDEX('Shultis Faw'!$C$2:$C$26,MATCH($C87,'Shultis Faw'!$A$2:$A$26,1))+($C87-INDEX('Shultis Faw'!$A$2:$A$26,MATCH($C87,'Shultis Faw'!$A$2:$A$26,1)))*(INDEX('Shultis Faw'!$C$2:$C$26,MATCH($C87,'Shultis Faw'!$A$2:$A$26,1)+1)-INDEX('Shultis Faw'!$C$2:$C$26,MATCH($C87,'Shultis Faw'!$A$2:$A$26,1)))/(INDEX('Shultis Faw'!$A$2:$A$26,MATCH($C87,'Shultis Faw'!$A$2:$A$26,1)+1)-INDEX('Shultis Faw'!$A$2:$A$26,MATCH($C87,'Shultis Faw'!$A$2:$A$26,1))),$C87*'Shultis Faw'!$C$2/'Shultis Faw'!$A$2)</f>
        <v>2.32952125</v>
      </c>
      <c r="J87" s="83">
        <f>_xlfn.IFNA(INDEX('Shultis Faw'!$D$2:$D$26,MATCH($C87,'Shultis Faw'!$A$2:$A$26,1))+($C87-INDEX('Shultis Faw'!$A$2:$A$26,MATCH($C87,'Shultis Faw'!$A$2:$A$26,1)))*(INDEX('Shultis Faw'!$D$2:$D$26,MATCH($C87,'Shultis Faw'!$A$2:$A$26,1)+1)-INDEX('Shultis Faw'!$D$2:$D$26,MATCH($C87,'Shultis Faw'!$A$2:$A$26,1)))/(INDEX('Shultis Faw'!$A$2:$A$26,MATCH($C87,'Shultis Faw'!$A$2:$A$26,1)+1)-INDEX('Shultis Faw'!$A$2:$A$26,MATCH($C87,'Shultis Faw'!$A$2:$A$26,1))),$C87*'Shultis Faw'!$D$2/'Shultis Faw'!$A$2)</f>
        <v>1.6401537500000001</v>
      </c>
      <c r="K87" s="83">
        <f>_xlfn.IFNA(INDEX('Shultis Faw'!$B$2:$B$26,MATCH($C87,'Shultis Faw'!$A$2:$A$26,1))+($C87-INDEX('Shultis Faw'!$A$2:$A$26,MATCH($C87,'Shultis Faw'!$A$2:$A$26,1)))*(INDEX('Shultis Faw'!$B$2:$B$26,MATCH($C87,'Shultis Faw'!$A$2:$A$26,1)+1)-INDEX('Shultis Faw'!$B$2:$B$26,MATCH($C87,'Shultis Faw'!$A$2:$A$26,1)))/(INDEX('Shultis Faw'!$A$2:$A$26,MATCH($C87,'Shultis Faw'!$A$2:$A$26,1)+1)-INDEX('Shultis Faw'!$A$2:$A$26,MATCH($C87,'Shultis Faw'!$A$2:$A$26,1))),$C87*'Shultis Faw'!$B$2/'Shultis Faw'!$A$2)</f>
        <v>-0.11853275000000001</v>
      </c>
      <c r="L87" s="83">
        <f>_xlfn.IFNA(INDEX('Shultis Faw'!$E$2:$E$26,MATCH($C87,'Shultis Faw'!$A$2:$A$26,1))+($C87-INDEX('Shultis Faw'!$A$2:$A$26,MATCH($C87,'Shultis Faw'!$A$2:$A$26,1)))*(INDEX('Shultis Faw'!$E$2:$E$26,MATCH($C87,'Shultis Faw'!$A$2:$A$26,1)+1)-INDEX('Shultis Faw'!$E$2:$E$26,MATCH($C87,'Shultis Faw'!$A$2:$A$26,1)))/(INDEX('Shultis Faw'!$A$2:$A$26,MATCH($C87,'Shultis Faw'!$A$2:$A$26,1)+1)-INDEX('Shultis Faw'!$A$2:$A$26,MATCH($C87,'Shultis Faw'!$A$2:$A$26,1))),$C87*'Shultis Faw'!$E$2/'Shultis Faw'!$A$2)</f>
        <v>4.8400850000000002E-2</v>
      </c>
      <c r="M87" s="83">
        <f>_xlfn.IFNA(INDEX('Shultis Faw'!$F$2:$F$26,MATCH($C87,'Shultis Faw'!$A$2:$A$26,1))+($C87-INDEX('Shultis Faw'!$A$2:$A$26,MATCH($C87,'Shultis Faw'!$A$2:$A$26,1)))*(INDEX('Shultis Faw'!$F$2:$F$26,MATCH($C87,'Shultis Faw'!$A$2:$A$26,1)+1)-INDEX('Shultis Faw'!$F$2:$F$26,MATCH($C87,'Shultis Faw'!$A$2:$A$26,1)))/(INDEX('Shultis Faw'!$A$2:$A$26,MATCH($C87,'Shultis Faw'!$A$2:$A$26,1)+1)-INDEX('Shultis Faw'!$A$2:$A$26,MATCH($C87,'Shultis Faw'!$A$2:$A$26,1))),$C87*'Shultis Faw'!$F$2/'Shultis Faw'!$A$2)</f>
        <v>14.267407500000001</v>
      </c>
      <c r="N87" s="83">
        <f>J87*(H87*'Externe blootstelling'!$D$23/2)^K87+L87*(TANH(((H87*'Externe blootstelling'!$D$23)/(2*M87))-2)-TANH(-2))/(1-TANH(-2))</f>
        <v>1.5912066085633196</v>
      </c>
      <c r="O87" s="83">
        <f>IF(N87=1,1+(I87-1)*H87*'Externe blootstelling'!$D$23/2,1+(I87-1)*(N87^(H87*'Externe blootstelling'!$D$23/2)-1)/(N87-1))</f>
        <v>2.8501137787621644</v>
      </c>
      <c r="P87" s="67">
        <f>G87*EXP(-H87*'Externe blootstelling'!$D$23/2)*O87</f>
        <v>9.1101434064490515E-6</v>
      </c>
      <c r="Q87" s="68"/>
    </row>
    <row r="88" spans="1:17" x14ac:dyDescent="0.2">
      <c r="A88" s="217"/>
      <c r="B88" s="64" t="s">
        <v>104</v>
      </c>
      <c r="C88" s="65">
        <v>0.66239999999999999</v>
      </c>
      <c r="D88" s="66">
        <f t="shared" si="4"/>
        <v>1.0598399999999999E-13</v>
      </c>
      <c r="E88" s="66">
        <v>6.9999999999999997E-7</v>
      </c>
      <c r="F88" s="66">
        <f>_xlfn.IFNA(INDEX('hp (pSv cm2)'!$B$2:$B$52,MATCH($C88,'hp (pSv cm2)'!$A$2:$A$52,1))+($C88-INDEX('hp (pSv cm2)'!$A$2:$A$52,MATCH($C88,'hp (pSv cm2)'!$A$2:$A$52,1)))*(INDEX('hp (pSv cm2)'!$B$2:$B$52,MATCH($C88,'hp (pSv cm2)'!$A$2:$A$52,1)+1)-INDEX('hp (pSv cm2)'!$B$2:$B$52,MATCH($C88,'hp (pSv cm2)'!$A$2:$A$52,1)))/(INDEX('hp (pSv cm2)'!$A$2:$A$52,MATCH($C88,'hp (pSv cm2)'!$A$2:$A$52,1)+1)-INDEX('hp (pSv cm2)'!$A$2:$A$52,MATCH($C88,'hp (pSv cm2)'!$A$2:$A$52,1))),$C88*'hp (pSv cm2)'!$B$2/'hp (pSv cm2)'!$A$2)</f>
        <v>3.1658400000000002</v>
      </c>
      <c r="G88" s="67">
        <f t="shared" si="5"/>
        <v>2.2160879999999999E-6</v>
      </c>
      <c r="H88" s="83">
        <f>_xlfn.IFNA(0.997*(INDEX('Mass attenuation coefficients'!$B$2:$B$37,MATCH($C88,'Mass attenuation coefficients'!$A$2:$A$37,1))+($C88-INDEX('Mass attenuation coefficients'!$A$2:$A$37,MATCH($C88,'Mass attenuation coefficients'!$A$2:$A$37,1)))*(INDEX('Mass attenuation coefficients'!$B$2:$B$37,MATCH($C88,'Mass attenuation coefficients'!$A$2:$A$37,1)+1)-INDEX('Mass attenuation coefficients'!$B$2:$B$37,MATCH($C88,'Mass attenuation coefficients'!$A$2:$A$37,1)))/(INDEX('Mass attenuation coefficients'!$A$2:$A$37,MATCH($C88,'Mass attenuation coefficients'!$A$2:$A$37,1)+1)-INDEX('Mass attenuation coefficients'!$A$2:$A$37,MATCH($C88,'Mass attenuation coefficients'!$A$2:$A$37,1)))),0.997*$C88*'Mass attenuation coefficients'!$B$2/'Mass attenuation coefficients'!$A$2)</f>
        <v>8.5897611759999992E-2</v>
      </c>
      <c r="I88" s="83">
        <f>_xlfn.IFNA(INDEX('Shultis Faw'!$C$2:$C$26,MATCH($C88,'Shultis Faw'!$A$2:$A$26,1))+($C88-INDEX('Shultis Faw'!$A$2:$A$26,MATCH($C88,'Shultis Faw'!$A$2:$A$26,1)))*(INDEX('Shultis Faw'!$C$2:$C$26,MATCH($C88,'Shultis Faw'!$A$2:$A$26,1)+1)-INDEX('Shultis Faw'!$C$2:$C$26,MATCH($C88,'Shultis Faw'!$A$2:$A$26,1)))/(INDEX('Shultis Faw'!$A$2:$A$26,MATCH($C88,'Shultis Faw'!$A$2:$A$26,1)+1)-INDEX('Shultis Faw'!$A$2:$A$26,MATCH($C88,'Shultis Faw'!$A$2:$A$26,1))),$C88*'Shultis Faw'!$C$2/'Shultis Faw'!$A$2)</f>
        <v>2.32552</v>
      </c>
      <c r="J88" s="83">
        <f>_xlfn.IFNA(INDEX('Shultis Faw'!$D$2:$D$26,MATCH($C88,'Shultis Faw'!$A$2:$A$26,1))+($C88-INDEX('Shultis Faw'!$A$2:$A$26,MATCH($C88,'Shultis Faw'!$A$2:$A$26,1)))*(INDEX('Shultis Faw'!$D$2:$D$26,MATCH($C88,'Shultis Faw'!$A$2:$A$26,1)+1)-INDEX('Shultis Faw'!$D$2:$D$26,MATCH($C88,'Shultis Faw'!$A$2:$A$26,1)))/(INDEX('Shultis Faw'!$A$2:$A$26,MATCH($C88,'Shultis Faw'!$A$2:$A$26,1)+1)-INDEX('Shultis Faw'!$A$2:$A$26,MATCH($C88,'Shultis Faw'!$A$2:$A$26,1))),$C88*'Shultis Faw'!$D$2/'Shultis Faw'!$A$2)</f>
        <v>1.6368800000000001</v>
      </c>
      <c r="K88" s="83">
        <f>_xlfn.IFNA(INDEX('Shultis Faw'!$B$2:$B$26,MATCH($C88,'Shultis Faw'!$A$2:$A$26,1))+($C88-INDEX('Shultis Faw'!$A$2:$A$26,MATCH($C88,'Shultis Faw'!$A$2:$A$26,1)))*(INDEX('Shultis Faw'!$B$2:$B$26,MATCH($C88,'Shultis Faw'!$A$2:$A$26,1)+1)-INDEX('Shultis Faw'!$B$2:$B$26,MATCH($C88,'Shultis Faw'!$A$2:$A$26,1)))/(INDEX('Shultis Faw'!$A$2:$A$26,MATCH($C88,'Shultis Faw'!$A$2:$A$26,1)+1)-INDEX('Shultis Faw'!$A$2:$A$26,MATCH($C88,'Shultis Faw'!$A$2:$A$26,1))),$C88*'Shultis Faw'!$B$2/'Shultis Faw'!$A$2)</f>
        <v>-0.118072</v>
      </c>
      <c r="L88" s="83">
        <f>_xlfn.IFNA(INDEX('Shultis Faw'!$E$2:$E$26,MATCH($C88,'Shultis Faw'!$A$2:$A$26,1))+($C88-INDEX('Shultis Faw'!$A$2:$A$26,MATCH($C88,'Shultis Faw'!$A$2:$A$26,1)))*(INDEX('Shultis Faw'!$E$2:$E$26,MATCH($C88,'Shultis Faw'!$A$2:$A$26,1)+1)-INDEX('Shultis Faw'!$E$2:$E$26,MATCH($C88,'Shultis Faw'!$A$2:$A$26,1)))/(INDEX('Shultis Faw'!$A$2:$A$26,MATCH($C88,'Shultis Faw'!$A$2:$A$26,1)+1)-INDEX('Shultis Faw'!$A$2:$A$26,MATCH($C88,'Shultis Faw'!$A$2:$A$26,1))),$C88*'Shultis Faw'!$E$2/'Shultis Faw'!$A$2)</f>
        <v>4.82408E-2</v>
      </c>
      <c r="M88" s="83">
        <f>_xlfn.IFNA(INDEX('Shultis Faw'!$F$2:$F$26,MATCH($C88,'Shultis Faw'!$A$2:$A$26,1))+($C88-INDEX('Shultis Faw'!$A$2:$A$26,MATCH($C88,'Shultis Faw'!$A$2:$A$26,1)))*(INDEX('Shultis Faw'!$F$2:$F$26,MATCH($C88,'Shultis Faw'!$A$2:$A$26,1)+1)-INDEX('Shultis Faw'!$F$2:$F$26,MATCH($C88,'Shultis Faw'!$A$2:$A$26,1)))/(INDEX('Shultis Faw'!$A$2:$A$26,MATCH($C88,'Shultis Faw'!$A$2:$A$26,1)+1)-INDEX('Shultis Faw'!$A$2:$A$26,MATCH($C88,'Shultis Faw'!$A$2:$A$26,1))),$C88*'Shultis Faw'!$F$2/'Shultis Faw'!$A$2)</f>
        <v>14.27056</v>
      </c>
      <c r="N88" s="83">
        <f>J88*(H88*'Externe blootstelling'!$D$23/2)^K88+L88*(TANH(((H88*'Externe blootstelling'!$D$23)/(2*M88))-2)-TANH(-2))/(1-TANH(-2))</f>
        <v>1.5887924052311639</v>
      </c>
      <c r="O88" s="83">
        <f>IF(N88=1,1+(I88-1)*H88*'Externe blootstelling'!$D$23/2,1+(I88-1)*(N88^(H88*'Externe blootstelling'!$D$23/2)-1)/(N88-1))</f>
        <v>2.8365695266155733</v>
      </c>
      <c r="P88" s="67">
        <f>G88*EXP(-H88*'Externe blootstelling'!$D$23/2)*O88</f>
        <v>1.7330358752890906E-6</v>
      </c>
      <c r="Q88" s="68"/>
    </row>
    <row r="89" spans="1:17" x14ac:dyDescent="0.2">
      <c r="A89" s="217"/>
      <c r="B89" s="64" t="s">
        <v>104</v>
      </c>
      <c r="C89" s="65">
        <v>0.67700000000000005</v>
      </c>
      <c r="D89" s="66">
        <f t="shared" si="4"/>
        <v>1.0832E-13</v>
      </c>
      <c r="E89" s="66">
        <v>4.3999999999999997E-7</v>
      </c>
      <c r="F89" s="66">
        <f>_xlfn.IFNA(INDEX('hp (pSv cm2)'!$B$2:$B$52,MATCH($C89,'hp (pSv cm2)'!$A$2:$A$52,1))+($C89-INDEX('hp (pSv cm2)'!$A$2:$A$52,MATCH($C89,'hp (pSv cm2)'!$A$2:$A$52,1)))*(INDEX('hp (pSv cm2)'!$B$2:$B$52,MATCH($C89,'hp (pSv cm2)'!$A$2:$A$52,1)+1)-INDEX('hp (pSv cm2)'!$B$2:$B$52,MATCH($C89,'hp (pSv cm2)'!$A$2:$A$52,1)))/(INDEX('hp (pSv cm2)'!$A$2:$A$52,MATCH($C89,'hp (pSv cm2)'!$A$2:$A$52,1)+1)-INDEX('hp (pSv cm2)'!$A$2:$A$52,MATCH($C89,'hp (pSv cm2)'!$A$2:$A$52,1))),$C89*'hp (pSv cm2)'!$B$2/'hp (pSv cm2)'!$A$2)</f>
        <v>3.2257000000000002</v>
      </c>
      <c r="G89" s="67">
        <f t="shared" si="5"/>
        <v>1.4193079999999999E-6</v>
      </c>
      <c r="H89" s="83">
        <f>_xlfn.IFNA(0.997*(INDEX('Mass attenuation coefficients'!$B$2:$B$37,MATCH($C89,'Mass attenuation coefficients'!$A$2:$A$37,1))+($C89-INDEX('Mass attenuation coefficients'!$A$2:$A$37,MATCH($C89,'Mass attenuation coefficients'!$A$2:$A$37,1)))*(INDEX('Mass attenuation coefficients'!$B$2:$B$37,MATCH($C89,'Mass attenuation coefficients'!$A$2:$A$37,1)+1)-INDEX('Mass attenuation coefficients'!$B$2:$B$37,MATCH($C89,'Mass attenuation coefficients'!$A$2:$A$37,1)))/(INDEX('Mass attenuation coefficients'!$A$2:$A$37,MATCH($C89,'Mass attenuation coefficients'!$A$2:$A$37,1)+1)-INDEX('Mass attenuation coefficients'!$A$2:$A$37,MATCH($C89,'Mass attenuation coefficients'!$A$2:$A$37,1)))),0.997*$C89*'Mass attenuation coefficients'!$B$2/'Mass attenuation coefficients'!$A$2)</f>
        <v>8.5103571049999993E-2</v>
      </c>
      <c r="I89" s="83">
        <f>_xlfn.IFNA(INDEX('Shultis Faw'!$C$2:$C$26,MATCH($C89,'Shultis Faw'!$A$2:$A$26,1))+($C89-INDEX('Shultis Faw'!$A$2:$A$26,MATCH($C89,'Shultis Faw'!$A$2:$A$26,1)))*(INDEX('Shultis Faw'!$C$2:$C$26,MATCH($C89,'Shultis Faw'!$A$2:$A$26,1)+1)-INDEX('Shultis Faw'!$C$2:$C$26,MATCH($C89,'Shultis Faw'!$A$2:$A$26,1)))/(INDEX('Shultis Faw'!$A$2:$A$26,MATCH($C89,'Shultis Faw'!$A$2:$A$26,1)+1)-INDEX('Shultis Faw'!$A$2:$A$26,MATCH($C89,'Shultis Faw'!$A$2:$A$26,1))),$C89*'Shultis Faw'!$C$2/'Shultis Faw'!$A$2)</f>
        <v>2.3134749999999999</v>
      </c>
      <c r="J89" s="83">
        <f>_xlfn.IFNA(INDEX('Shultis Faw'!$D$2:$D$26,MATCH($C89,'Shultis Faw'!$A$2:$A$26,1))+($C89-INDEX('Shultis Faw'!$A$2:$A$26,MATCH($C89,'Shultis Faw'!$A$2:$A$26,1)))*(INDEX('Shultis Faw'!$D$2:$D$26,MATCH($C89,'Shultis Faw'!$A$2:$A$26,1)+1)-INDEX('Shultis Faw'!$D$2:$D$26,MATCH($C89,'Shultis Faw'!$A$2:$A$26,1)))/(INDEX('Shultis Faw'!$A$2:$A$26,MATCH($C89,'Shultis Faw'!$A$2:$A$26,1)+1)-INDEX('Shultis Faw'!$A$2:$A$26,MATCH($C89,'Shultis Faw'!$A$2:$A$26,1))),$C89*'Shultis Faw'!$D$2/'Shultis Faw'!$A$2)</f>
        <v>1.6270249999999999</v>
      </c>
      <c r="K89" s="83">
        <f>_xlfn.IFNA(INDEX('Shultis Faw'!$B$2:$B$26,MATCH($C89,'Shultis Faw'!$A$2:$A$26,1))+($C89-INDEX('Shultis Faw'!$A$2:$A$26,MATCH($C89,'Shultis Faw'!$A$2:$A$26,1)))*(INDEX('Shultis Faw'!$B$2:$B$26,MATCH($C89,'Shultis Faw'!$A$2:$A$26,1)+1)-INDEX('Shultis Faw'!$B$2:$B$26,MATCH($C89,'Shultis Faw'!$A$2:$A$26,1)))/(INDEX('Shultis Faw'!$A$2:$A$26,MATCH($C89,'Shultis Faw'!$A$2:$A$26,1)+1)-INDEX('Shultis Faw'!$A$2:$A$26,MATCH($C89,'Shultis Faw'!$A$2:$A$26,1))),$C89*'Shultis Faw'!$B$2/'Shultis Faw'!$A$2)</f>
        <v>-0.116685</v>
      </c>
      <c r="L89" s="83">
        <f>_xlfn.IFNA(INDEX('Shultis Faw'!$E$2:$E$26,MATCH($C89,'Shultis Faw'!$A$2:$A$26,1))+($C89-INDEX('Shultis Faw'!$A$2:$A$26,MATCH($C89,'Shultis Faw'!$A$2:$A$26,1)))*(INDEX('Shultis Faw'!$E$2:$E$26,MATCH($C89,'Shultis Faw'!$A$2:$A$26,1)+1)-INDEX('Shultis Faw'!$E$2:$E$26,MATCH($C89,'Shultis Faw'!$A$2:$A$26,1)))/(INDEX('Shultis Faw'!$A$2:$A$26,MATCH($C89,'Shultis Faw'!$A$2:$A$26,1)+1)-INDEX('Shultis Faw'!$A$2:$A$26,MATCH($C89,'Shultis Faw'!$A$2:$A$26,1))),$C89*'Shultis Faw'!$E$2/'Shultis Faw'!$A$2)</f>
        <v>4.7758999999999996E-2</v>
      </c>
      <c r="M89" s="83">
        <f>_xlfn.IFNA(INDEX('Shultis Faw'!$F$2:$F$26,MATCH($C89,'Shultis Faw'!$A$2:$A$26,1))+($C89-INDEX('Shultis Faw'!$A$2:$A$26,MATCH($C89,'Shultis Faw'!$A$2:$A$26,1)))*(INDEX('Shultis Faw'!$F$2:$F$26,MATCH($C89,'Shultis Faw'!$A$2:$A$26,1)+1)-INDEX('Shultis Faw'!$F$2:$F$26,MATCH($C89,'Shultis Faw'!$A$2:$A$26,1)))/(INDEX('Shultis Faw'!$A$2:$A$26,MATCH($C89,'Shultis Faw'!$A$2:$A$26,1)+1)-INDEX('Shultis Faw'!$A$2:$A$26,MATCH($C89,'Shultis Faw'!$A$2:$A$26,1))),$C89*'Shultis Faw'!$F$2/'Shultis Faw'!$A$2)</f>
        <v>14.280049999999999</v>
      </c>
      <c r="N89" s="83">
        <f>J89*(H89*'Externe blootstelling'!$D$23/2)^K89+L89*(TANH(((H89*'Externe blootstelling'!$D$23)/(2*M89))-2)-TANH(-2))/(1-TANH(-2))</f>
        <v>1.58149229617076</v>
      </c>
      <c r="O89" s="83">
        <f>IF(N89=1,1+(I89-1)*H89*'Externe blootstelling'!$D$23/2,1+(I89-1)*(N89^(H89*'Externe blootstelling'!$D$23/2)-1)/(N89-1))</f>
        <v>2.7962629477486756</v>
      </c>
      <c r="P89" s="67">
        <f>G89*EXP(-H89*'Externe blootstelling'!$D$23/2)*O89</f>
        <v>1.107272437016816E-6</v>
      </c>
      <c r="Q89" s="68"/>
    </row>
    <row r="90" spans="1:17" x14ac:dyDescent="0.2">
      <c r="A90" s="217"/>
      <c r="B90" s="64" t="s">
        <v>104</v>
      </c>
      <c r="C90" s="65">
        <v>0.68200000000000005</v>
      </c>
      <c r="D90" s="66">
        <f t="shared" si="4"/>
        <v>1.0911999999999999E-13</v>
      </c>
      <c r="E90" s="66">
        <v>1.4999999999999998E-6</v>
      </c>
      <c r="F90" s="66">
        <f>_xlfn.IFNA(INDEX('hp (pSv cm2)'!$B$2:$B$52,MATCH($C90,'hp (pSv cm2)'!$A$2:$A$52,1))+($C90-INDEX('hp (pSv cm2)'!$A$2:$A$52,MATCH($C90,'hp (pSv cm2)'!$A$2:$A$52,1)))*(INDEX('hp (pSv cm2)'!$B$2:$B$52,MATCH($C90,'hp (pSv cm2)'!$A$2:$A$52,1)+1)-INDEX('hp (pSv cm2)'!$B$2:$B$52,MATCH($C90,'hp (pSv cm2)'!$A$2:$A$52,1)))/(INDEX('hp (pSv cm2)'!$A$2:$A$52,MATCH($C90,'hp (pSv cm2)'!$A$2:$A$52,1)+1)-INDEX('hp (pSv cm2)'!$A$2:$A$52,MATCH($C90,'hp (pSv cm2)'!$A$2:$A$52,1))),$C90*'hp (pSv cm2)'!$B$2/'hp (pSv cm2)'!$A$2)</f>
        <v>3.2462000000000004</v>
      </c>
      <c r="G90" s="67">
        <f t="shared" si="5"/>
        <v>4.8693000000000001E-6</v>
      </c>
      <c r="H90" s="83">
        <f>_xlfn.IFNA(0.997*(INDEX('Mass attenuation coefficients'!$B$2:$B$37,MATCH($C90,'Mass attenuation coefficients'!$A$2:$A$37,1))+($C90-INDEX('Mass attenuation coefficients'!$A$2:$A$37,MATCH($C90,'Mass attenuation coefficients'!$A$2:$A$37,1)))*(INDEX('Mass attenuation coefficients'!$B$2:$B$37,MATCH($C90,'Mass attenuation coefficients'!$A$2:$A$37,1)+1)-INDEX('Mass attenuation coefficients'!$B$2:$B$37,MATCH($C90,'Mass attenuation coefficients'!$A$2:$A$37,1)))/(INDEX('Mass attenuation coefficients'!$A$2:$A$37,MATCH($C90,'Mass attenuation coefficients'!$A$2:$A$37,1)+1)-INDEX('Mass attenuation coefficients'!$A$2:$A$37,MATCH($C90,'Mass attenuation coefficients'!$A$2:$A$37,1)))),0.997*$C90*'Mass attenuation coefficients'!$B$2/'Mass attenuation coefficients'!$A$2)</f>
        <v>8.4831639299999997E-2</v>
      </c>
      <c r="I90" s="83">
        <f>_xlfn.IFNA(INDEX('Shultis Faw'!$C$2:$C$26,MATCH($C90,'Shultis Faw'!$A$2:$A$26,1))+($C90-INDEX('Shultis Faw'!$A$2:$A$26,MATCH($C90,'Shultis Faw'!$A$2:$A$26,1)))*(INDEX('Shultis Faw'!$C$2:$C$26,MATCH($C90,'Shultis Faw'!$A$2:$A$26,1)+1)-INDEX('Shultis Faw'!$C$2:$C$26,MATCH($C90,'Shultis Faw'!$A$2:$A$26,1)))/(INDEX('Shultis Faw'!$A$2:$A$26,MATCH($C90,'Shultis Faw'!$A$2:$A$26,1)+1)-INDEX('Shultis Faw'!$A$2:$A$26,MATCH($C90,'Shultis Faw'!$A$2:$A$26,1))),$C90*'Shultis Faw'!$C$2/'Shultis Faw'!$A$2)</f>
        <v>2.3093499999999998</v>
      </c>
      <c r="J90" s="83">
        <f>_xlfn.IFNA(INDEX('Shultis Faw'!$D$2:$D$26,MATCH($C90,'Shultis Faw'!$A$2:$A$26,1))+($C90-INDEX('Shultis Faw'!$A$2:$A$26,MATCH($C90,'Shultis Faw'!$A$2:$A$26,1)))*(INDEX('Shultis Faw'!$D$2:$D$26,MATCH($C90,'Shultis Faw'!$A$2:$A$26,1)+1)-INDEX('Shultis Faw'!$D$2:$D$26,MATCH($C90,'Shultis Faw'!$A$2:$A$26,1)))/(INDEX('Shultis Faw'!$A$2:$A$26,MATCH($C90,'Shultis Faw'!$A$2:$A$26,1)+1)-INDEX('Shultis Faw'!$A$2:$A$26,MATCH($C90,'Shultis Faw'!$A$2:$A$26,1))),$C90*'Shultis Faw'!$D$2/'Shultis Faw'!$A$2)</f>
        <v>1.62365</v>
      </c>
      <c r="K90" s="83">
        <f>_xlfn.IFNA(INDEX('Shultis Faw'!$B$2:$B$26,MATCH($C90,'Shultis Faw'!$A$2:$A$26,1))+($C90-INDEX('Shultis Faw'!$A$2:$A$26,MATCH($C90,'Shultis Faw'!$A$2:$A$26,1)))*(INDEX('Shultis Faw'!$B$2:$B$26,MATCH($C90,'Shultis Faw'!$A$2:$A$26,1)+1)-INDEX('Shultis Faw'!$B$2:$B$26,MATCH($C90,'Shultis Faw'!$A$2:$A$26,1)))/(INDEX('Shultis Faw'!$A$2:$A$26,MATCH($C90,'Shultis Faw'!$A$2:$A$26,1)+1)-INDEX('Shultis Faw'!$A$2:$A$26,MATCH($C90,'Shultis Faw'!$A$2:$A$26,1))),$C90*'Shultis Faw'!$B$2/'Shultis Faw'!$A$2)</f>
        <v>-0.11620999999999999</v>
      </c>
      <c r="L90" s="83">
        <f>_xlfn.IFNA(INDEX('Shultis Faw'!$E$2:$E$26,MATCH($C90,'Shultis Faw'!$A$2:$A$26,1))+($C90-INDEX('Shultis Faw'!$A$2:$A$26,MATCH($C90,'Shultis Faw'!$A$2:$A$26,1)))*(INDEX('Shultis Faw'!$E$2:$E$26,MATCH($C90,'Shultis Faw'!$A$2:$A$26,1)+1)-INDEX('Shultis Faw'!$E$2:$E$26,MATCH($C90,'Shultis Faw'!$A$2:$A$26,1)))/(INDEX('Shultis Faw'!$A$2:$A$26,MATCH($C90,'Shultis Faw'!$A$2:$A$26,1)+1)-INDEX('Shultis Faw'!$A$2:$A$26,MATCH($C90,'Shultis Faw'!$A$2:$A$26,1))),$C90*'Shultis Faw'!$E$2/'Shultis Faw'!$A$2)</f>
        <v>4.7593999999999997E-2</v>
      </c>
      <c r="M90" s="83">
        <f>_xlfn.IFNA(INDEX('Shultis Faw'!$F$2:$F$26,MATCH($C90,'Shultis Faw'!$A$2:$A$26,1))+($C90-INDEX('Shultis Faw'!$A$2:$A$26,MATCH($C90,'Shultis Faw'!$A$2:$A$26,1)))*(INDEX('Shultis Faw'!$F$2:$F$26,MATCH($C90,'Shultis Faw'!$A$2:$A$26,1)+1)-INDEX('Shultis Faw'!$F$2:$F$26,MATCH($C90,'Shultis Faw'!$A$2:$A$26,1)))/(INDEX('Shultis Faw'!$A$2:$A$26,MATCH($C90,'Shultis Faw'!$A$2:$A$26,1)+1)-INDEX('Shultis Faw'!$A$2:$A$26,MATCH($C90,'Shultis Faw'!$A$2:$A$26,1))),$C90*'Shultis Faw'!$F$2/'Shultis Faw'!$A$2)</f>
        <v>14.283300000000001</v>
      </c>
      <c r="N90" s="83">
        <f>J90*(H90*'Externe blootstelling'!$D$23/2)^K90+L90*(TANH(((H90*'Externe blootstelling'!$D$23)/(2*M90))-2)-TANH(-2))/(1-TANH(-2))</f>
        <v>1.5789810069267778</v>
      </c>
      <c r="O90" s="83">
        <f>IF(N90=1,1+(I90-1)*H90*'Externe blootstelling'!$D$23/2,1+(I90-1)*(N90^(H90*'Externe blootstelling'!$D$23/2)-1)/(N90-1))</f>
        <v>2.7826186711199128</v>
      </c>
      <c r="P90" s="67">
        <f>G90*EXP(-H90*'Externe blootstelling'!$D$23/2)*O90</f>
        <v>3.7956969838950594E-6</v>
      </c>
      <c r="Q90" s="68"/>
    </row>
    <row r="91" spans="1:17" x14ac:dyDescent="0.2">
      <c r="A91" s="217"/>
      <c r="B91" s="64" t="s">
        <v>104</v>
      </c>
      <c r="C91" s="65">
        <v>0.69410000000000005</v>
      </c>
      <c r="D91" s="66">
        <f t="shared" si="4"/>
        <v>1.11056E-13</v>
      </c>
      <c r="E91" s="66">
        <v>2.0000000000000002E-7</v>
      </c>
      <c r="F91" s="66">
        <f>_xlfn.IFNA(INDEX('hp (pSv cm2)'!$B$2:$B$52,MATCH($C91,'hp (pSv cm2)'!$A$2:$A$52,1))+($C91-INDEX('hp (pSv cm2)'!$A$2:$A$52,MATCH($C91,'hp (pSv cm2)'!$A$2:$A$52,1)))*(INDEX('hp (pSv cm2)'!$B$2:$B$52,MATCH($C91,'hp (pSv cm2)'!$A$2:$A$52,1)+1)-INDEX('hp (pSv cm2)'!$B$2:$B$52,MATCH($C91,'hp (pSv cm2)'!$A$2:$A$52,1)))/(INDEX('hp (pSv cm2)'!$A$2:$A$52,MATCH($C91,'hp (pSv cm2)'!$A$2:$A$52,1)+1)-INDEX('hp (pSv cm2)'!$A$2:$A$52,MATCH($C91,'hp (pSv cm2)'!$A$2:$A$52,1))),$C91*'hp (pSv cm2)'!$B$2/'hp (pSv cm2)'!$A$2)</f>
        <v>3.2958100000000004</v>
      </c>
      <c r="G91" s="67">
        <f t="shared" si="5"/>
        <v>6.5916200000000009E-7</v>
      </c>
      <c r="H91" s="83">
        <f>_xlfn.IFNA(0.997*(INDEX('Mass attenuation coefficients'!$B$2:$B$37,MATCH($C91,'Mass attenuation coefficients'!$A$2:$A$37,1))+($C91-INDEX('Mass attenuation coefficients'!$A$2:$A$37,MATCH($C91,'Mass attenuation coefficients'!$A$2:$A$37,1)))*(INDEX('Mass attenuation coefficients'!$B$2:$B$37,MATCH($C91,'Mass attenuation coefficients'!$A$2:$A$37,1)+1)-INDEX('Mass attenuation coefficients'!$B$2:$B$37,MATCH($C91,'Mass attenuation coefficients'!$A$2:$A$37,1)))/(INDEX('Mass attenuation coefficients'!$A$2:$A$37,MATCH($C91,'Mass attenuation coefficients'!$A$2:$A$37,1)+1)-INDEX('Mass attenuation coefficients'!$A$2:$A$37,MATCH($C91,'Mass attenuation coefficients'!$A$2:$A$37,1)))),0.997*$C91*'Mass attenuation coefficients'!$B$2/'Mass attenuation coefficients'!$A$2)</f>
        <v>8.4173564465000003E-2</v>
      </c>
      <c r="I91" s="83">
        <f>_xlfn.IFNA(INDEX('Shultis Faw'!$C$2:$C$26,MATCH($C91,'Shultis Faw'!$A$2:$A$26,1))+($C91-INDEX('Shultis Faw'!$A$2:$A$26,MATCH($C91,'Shultis Faw'!$A$2:$A$26,1)))*(INDEX('Shultis Faw'!$C$2:$C$26,MATCH($C91,'Shultis Faw'!$A$2:$A$26,1)+1)-INDEX('Shultis Faw'!$C$2:$C$26,MATCH($C91,'Shultis Faw'!$A$2:$A$26,1)))/(INDEX('Shultis Faw'!$A$2:$A$26,MATCH($C91,'Shultis Faw'!$A$2:$A$26,1)+1)-INDEX('Shultis Faw'!$A$2:$A$26,MATCH($C91,'Shultis Faw'!$A$2:$A$26,1))),$C91*'Shultis Faw'!$C$2/'Shultis Faw'!$A$2)</f>
        <v>2.2993674999999998</v>
      </c>
      <c r="J91" s="83">
        <f>_xlfn.IFNA(INDEX('Shultis Faw'!$D$2:$D$26,MATCH($C91,'Shultis Faw'!$A$2:$A$26,1))+($C91-INDEX('Shultis Faw'!$A$2:$A$26,MATCH($C91,'Shultis Faw'!$A$2:$A$26,1)))*(INDEX('Shultis Faw'!$D$2:$D$26,MATCH($C91,'Shultis Faw'!$A$2:$A$26,1)+1)-INDEX('Shultis Faw'!$D$2:$D$26,MATCH($C91,'Shultis Faw'!$A$2:$A$26,1)))/(INDEX('Shultis Faw'!$A$2:$A$26,MATCH($C91,'Shultis Faw'!$A$2:$A$26,1)+1)-INDEX('Shultis Faw'!$A$2:$A$26,MATCH($C91,'Shultis Faw'!$A$2:$A$26,1))),$C91*'Shultis Faw'!$D$2/'Shultis Faw'!$A$2)</f>
        <v>1.6154824999999999</v>
      </c>
      <c r="K91" s="83">
        <f>_xlfn.IFNA(INDEX('Shultis Faw'!$B$2:$B$26,MATCH($C91,'Shultis Faw'!$A$2:$A$26,1))+($C91-INDEX('Shultis Faw'!$A$2:$A$26,MATCH($C91,'Shultis Faw'!$A$2:$A$26,1)))*(INDEX('Shultis Faw'!$B$2:$B$26,MATCH($C91,'Shultis Faw'!$A$2:$A$26,1)+1)-INDEX('Shultis Faw'!$B$2:$B$26,MATCH($C91,'Shultis Faw'!$A$2:$A$26,1)))/(INDEX('Shultis Faw'!$A$2:$A$26,MATCH($C91,'Shultis Faw'!$A$2:$A$26,1)+1)-INDEX('Shultis Faw'!$A$2:$A$26,MATCH($C91,'Shultis Faw'!$A$2:$A$26,1))),$C91*'Shultis Faw'!$B$2/'Shultis Faw'!$A$2)</f>
        <v>-0.1150605</v>
      </c>
      <c r="L91" s="83">
        <f>_xlfn.IFNA(INDEX('Shultis Faw'!$E$2:$E$26,MATCH($C91,'Shultis Faw'!$A$2:$A$26,1))+($C91-INDEX('Shultis Faw'!$A$2:$A$26,MATCH($C91,'Shultis Faw'!$A$2:$A$26,1)))*(INDEX('Shultis Faw'!$E$2:$E$26,MATCH($C91,'Shultis Faw'!$A$2:$A$26,1)+1)-INDEX('Shultis Faw'!$E$2:$E$26,MATCH($C91,'Shultis Faw'!$A$2:$A$26,1)))/(INDEX('Shultis Faw'!$A$2:$A$26,MATCH($C91,'Shultis Faw'!$A$2:$A$26,1)+1)-INDEX('Shultis Faw'!$A$2:$A$26,MATCH($C91,'Shultis Faw'!$A$2:$A$26,1))),$C91*'Shultis Faw'!$E$2/'Shultis Faw'!$A$2)</f>
        <v>4.7194699999999999E-2</v>
      </c>
      <c r="M91" s="83">
        <f>_xlfn.IFNA(INDEX('Shultis Faw'!$F$2:$F$26,MATCH($C91,'Shultis Faw'!$A$2:$A$26,1))+($C91-INDEX('Shultis Faw'!$A$2:$A$26,MATCH($C91,'Shultis Faw'!$A$2:$A$26,1)))*(INDEX('Shultis Faw'!$F$2:$F$26,MATCH($C91,'Shultis Faw'!$A$2:$A$26,1)+1)-INDEX('Shultis Faw'!$F$2:$F$26,MATCH($C91,'Shultis Faw'!$A$2:$A$26,1)))/(INDEX('Shultis Faw'!$A$2:$A$26,MATCH($C91,'Shultis Faw'!$A$2:$A$26,1)+1)-INDEX('Shultis Faw'!$A$2:$A$26,MATCH($C91,'Shultis Faw'!$A$2:$A$26,1))),$C91*'Shultis Faw'!$F$2/'Shultis Faw'!$A$2)</f>
        <v>14.291164999999999</v>
      </c>
      <c r="N91" s="83">
        <f>J91*(H91*'Externe blootstelling'!$D$23/2)^K91+L91*(TANH(((H91*'Externe blootstelling'!$D$23)/(2*M91))-2)-TANH(-2))/(1-TANH(-2))</f>
        <v>1.5728799370263262</v>
      </c>
      <c r="O91" s="83">
        <f>IF(N91=1,1+(I91-1)*H91*'Externe blootstelling'!$D$23/2,1+(I91-1)*(N91^(H91*'Externe blootstelling'!$D$23/2)-1)/(N91-1))</f>
        <v>2.7499321358801128</v>
      </c>
      <c r="P91" s="67">
        <f>G91*EXP(-H91*'Externe blootstelling'!$D$23/2)*O91</f>
        <v>5.1282881618688227E-7</v>
      </c>
      <c r="Q91" s="68"/>
    </row>
    <row r="92" spans="1:17" x14ac:dyDescent="0.2">
      <c r="A92" s="217"/>
      <c r="B92" s="64" t="s">
        <v>104</v>
      </c>
      <c r="C92" s="65">
        <v>0.70179999999999998</v>
      </c>
      <c r="D92" s="66">
        <f t="shared" si="4"/>
        <v>1.1228799999999999E-13</v>
      </c>
      <c r="E92" s="66">
        <v>2.8999999999999998E-7</v>
      </c>
      <c r="F92" s="66">
        <f>_xlfn.IFNA(INDEX('hp (pSv cm2)'!$B$2:$B$52,MATCH($C92,'hp (pSv cm2)'!$A$2:$A$52,1))+($C92-INDEX('hp (pSv cm2)'!$A$2:$A$52,MATCH($C92,'hp (pSv cm2)'!$A$2:$A$52,1)))*(INDEX('hp (pSv cm2)'!$B$2:$B$52,MATCH($C92,'hp (pSv cm2)'!$A$2:$A$52,1)+1)-INDEX('hp (pSv cm2)'!$B$2:$B$52,MATCH($C92,'hp (pSv cm2)'!$A$2:$A$52,1)))/(INDEX('hp (pSv cm2)'!$A$2:$A$52,MATCH($C92,'hp (pSv cm2)'!$A$2:$A$52,1)+1)-INDEX('hp (pSv cm2)'!$A$2:$A$52,MATCH($C92,'hp (pSv cm2)'!$A$2:$A$52,1))),$C92*'hp (pSv cm2)'!$B$2/'hp (pSv cm2)'!$A$2)</f>
        <v>3.3273799999999998</v>
      </c>
      <c r="G92" s="67">
        <f t="shared" si="5"/>
        <v>9.6494019999999978E-7</v>
      </c>
      <c r="H92" s="83">
        <f>_xlfn.IFNA(0.997*(INDEX('Mass attenuation coefficients'!$B$2:$B$37,MATCH($C92,'Mass attenuation coefficients'!$A$2:$A$37,1))+($C92-INDEX('Mass attenuation coefficients'!$A$2:$A$37,MATCH($C92,'Mass attenuation coefficients'!$A$2:$A$37,1)))*(INDEX('Mass attenuation coefficients'!$B$2:$B$37,MATCH($C92,'Mass attenuation coefficients'!$A$2:$A$37,1)+1)-INDEX('Mass attenuation coefficients'!$B$2:$B$37,MATCH($C92,'Mass attenuation coefficients'!$A$2:$A$37,1)))/(INDEX('Mass attenuation coefficients'!$A$2:$A$37,MATCH($C92,'Mass attenuation coefficients'!$A$2:$A$37,1)+1)-INDEX('Mass attenuation coefficients'!$A$2:$A$37,MATCH($C92,'Mass attenuation coefficients'!$A$2:$A$37,1)))),0.997*$C92*'Mass attenuation coefficients'!$B$2/'Mass attenuation coefficients'!$A$2)</f>
        <v>8.3754789570000002E-2</v>
      </c>
      <c r="I92" s="83">
        <f>_xlfn.IFNA(INDEX('Shultis Faw'!$C$2:$C$26,MATCH($C92,'Shultis Faw'!$A$2:$A$26,1))+($C92-INDEX('Shultis Faw'!$A$2:$A$26,MATCH($C92,'Shultis Faw'!$A$2:$A$26,1)))*(INDEX('Shultis Faw'!$C$2:$C$26,MATCH($C92,'Shultis Faw'!$A$2:$A$26,1)+1)-INDEX('Shultis Faw'!$C$2:$C$26,MATCH($C92,'Shultis Faw'!$A$2:$A$26,1)))/(INDEX('Shultis Faw'!$A$2:$A$26,MATCH($C92,'Shultis Faw'!$A$2:$A$26,1)+1)-INDEX('Shultis Faw'!$A$2:$A$26,MATCH($C92,'Shultis Faw'!$A$2:$A$26,1))),$C92*'Shultis Faw'!$C$2/'Shultis Faw'!$A$2)</f>
        <v>2.293015</v>
      </c>
      <c r="J92" s="83">
        <f>_xlfn.IFNA(INDEX('Shultis Faw'!$D$2:$D$26,MATCH($C92,'Shultis Faw'!$A$2:$A$26,1))+($C92-INDEX('Shultis Faw'!$A$2:$A$26,MATCH($C92,'Shultis Faw'!$A$2:$A$26,1)))*(INDEX('Shultis Faw'!$D$2:$D$26,MATCH($C92,'Shultis Faw'!$A$2:$A$26,1)+1)-INDEX('Shultis Faw'!$D$2:$D$26,MATCH($C92,'Shultis Faw'!$A$2:$A$26,1)))/(INDEX('Shultis Faw'!$A$2:$A$26,MATCH($C92,'Shultis Faw'!$A$2:$A$26,1)+1)-INDEX('Shultis Faw'!$A$2:$A$26,MATCH($C92,'Shultis Faw'!$A$2:$A$26,1))),$C92*'Shultis Faw'!$D$2/'Shultis Faw'!$A$2)</f>
        <v>1.610285</v>
      </c>
      <c r="K92" s="83">
        <f>_xlfn.IFNA(INDEX('Shultis Faw'!$B$2:$B$26,MATCH($C92,'Shultis Faw'!$A$2:$A$26,1))+($C92-INDEX('Shultis Faw'!$A$2:$A$26,MATCH($C92,'Shultis Faw'!$A$2:$A$26,1)))*(INDEX('Shultis Faw'!$B$2:$B$26,MATCH($C92,'Shultis Faw'!$A$2:$A$26,1)+1)-INDEX('Shultis Faw'!$B$2:$B$26,MATCH($C92,'Shultis Faw'!$A$2:$A$26,1)))/(INDEX('Shultis Faw'!$A$2:$A$26,MATCH($C92,'Shultis Faw'!$A$2:$A$26,1)+1)-INDEX('Shultis Faw'!$A$2:$A$26,MATCH($C92,'Shultis Faw'!$A$2:$A$26,1))),$C92*'Shultis Faw'!$B$2/'Shultis Faw'!$A$2)</f>
        <v>-0.114329</v>
      </c>
      <c r="L92" s="83">
        <f>_xlfn.IFNA(INDEX('Shultis Faw'!$E$2:$E$26,MATCH($C92,'Shultis Faw'!$A$2:$A$26,1))+($C92-INDEX('Shultis Faw'!$A$2:$A$26,MATCH($C92,'Shultis Faw'!$A$2:$A$26,1)))*(INDEX('Shultis Faw'!$E$2:$E$26,MATCH($C92,'Shultis Faw'!$A$2:$A$26,1)+1)-INDEX('Shultis Faw'!$E$2:$E$26,MATCH($C92,'Shultis Faw'!$A$2:$A$26,1)))/(INDEX('Shultis Faw'!$A$2:$A$26,MATCH($C92,'Shultis Faw'!$A$2:$A$26,1)+1)-INDEX('Shultis Faw'!$A$2:$A$26,MATCH($C92,'Shultis Faw'!$A$2:$A$26,1))),$C92*'Shultis Faw'!$E$2/'Shultis Faw'!$A$2)</f>
        <v>4.6940599999999999E-2</v>
      </c>
      <c r="M92" s="83">
        <f>_xlfn.IFNA(INDEX('Shultis Faw'!$F$2:$F$26,MATCH($C92,'Shultis Faw'!$A$2:$A$26,1))+($C92-INDEX('Shultis Faw'!$A$2:$A$26,MATCH($C92,'Shultis Faw'!$A$2:$A$26,1)))*(INDEX('Shultis Faw'!$F$2:$F$26,MATCH($C92,'Shultis Faw'!$A$2:$A$26,1)+1)-INDEX('Shultis Faw'!$F$2:$F$26,MATCH($C92,'Shultis Faw'!$A$2:$A$26,1)))/(INDEX('Shultis Faw'!$A$2:$A$26,MATCH($C92,'Shultis Faw'!$A$2:$A$26,1)+1)-INDEX('Shultis Faw'!$A$2:$A$26,MATCH($C92,'Shultis Faw'!$A$2:$A$26,1))),$C92*'Shultis Faw'!$F$2/'Shultis Faw'!$A$2)</f>
        <v>14.29617</v>
      </c>
      <c r="N92" s="83">
        <f>J92*(H92*'Externe blootstelling'!$D$23/2)^K92+L92*(TANH(((H92*'Externe blootstelling'!$D$23)/(2*M92))-2)-TANH(-2))/(1-TANH(-2))</f>
        <v>1.568979942141433</v>
      </c>
      <c r="O92" s="83">
        <f>IF(N92=1,1+(I92-1)*H92*'Externe blootstelling'!$D$23/2,1+(I92-1)*(N92^(H92*'Externe blootstelling'!$D$23/2)-1)/(N92-1))</f>
        <v>2.7293745186885463</v>
      </c>
      <c r="P92" s="67">
        <f>G92*EXP(-H92*'Externe blootstelling'!$D$23/2)*O92</f>
        <v>7.4980768666496918E-7</v>
      </c>
      <c r="Q92" s="68"/>
    </row>
    <row r="93" spans="1:17" x14ac:dyDescent="0.2">
      <c r="A93" s="217"/>
      <c r="B93" s="64" t="s">
        <v>104</v>
      </c>
      <c r="C93" s="65">
        <v>0.70679999999999998</v>
      </c>
      <c r="D93" s="66">
        <f t="shared" si="4"/>
        <v>1.1308799999999999E-13</v>
      </c>
      <c r="E93" s="66">
        <v>2.2999999999999999E-7</v>
      </c>
      <c r="F93" s="66">
        <f>_xlfn.IFNA(INDEX('hp (pSv cm2)'!$B$2:$B$52,MATCH($C93,'hp (pSv cm2)'!$A$2:$A$52,1))+($C93-INDEX('hp (pSv cm2)'!$A$2:$A$52,MATCH($C93,'hp (pSv cm2)'!$A$2:$A$52,1)))*(INDEX('hp (pSv cm2)'!$B$2:$B$52,MATCH($C93,'hp (pSv cm2)'!$A$2:$A$52,1)+1)-INDEX('hp (pSv cm2)'!$B$2:$B$52,MATCH($C93,'hp (pSv cm2)'!$A$2:$A$52,1)))/(INDEX('hp (pSv cm2)'!$A$2:$A$52,MATCH($C93,'hp (pSv cm2)'!$A$2:$A$52,1)+1)-INDEX('hp (pSv cm2)'!$A$2:$A$52,MATCH($C93,'hp (pSv cm2)'!$A$2:$A$52,1))),$C93*'hp (pSv cm2)'!$B$2/'hp (pSv cm2)'!$A$2)</f>
        <v>3.34788</v>
      </c>
      <c r="G93" s="67">
        <f t="shared" si="5"/>
        <v>7.7001240000000002E-7</v>
      </c>
      <c r="H93" s="83">
        <f>_xlfn.IFNA(0.997*(INDEX('Mass attenuation coefficients'!$B$2:$B$37,MATCH($C93,'Mass attenuation coefficients'!$A$2:$A$37,1))+($C93-INDEX('Mass attenuation coefficients'!$A$2:$A$37,MATCH($C93,'Mass attenuation coefficients'!$A$2:$A$37,1)))*(INDEX('Mass attenuation coefficients'!$B$2:$B$37,MATCH($C93,'Mass attenuation coefficients'!$A$2:$A$37,1)+1)-INDEX('Mass attenuation coefficients'!$B$2:$B$37,MATCH($C93,'Mass attenuation coefficients'!$A$2:$A$37,1)))/(INDEX('Mass attenuation coefficients'!$A$2:$A$37,MATCH($C93,'Mass attenuation coefficients'!$A$2:$A$37,1)+1)-INDEX('Mass attenuation coefficients'!$A$2:$A$37,MATCH($C93,'Mass attenuation coefficients'!$A$2:$A$37,1)))),0.997*$C93*'Mass attenuation coefficients'!$B$2/'Mass attenuation coefficients'!$A$2)</f>
        <v>8.3482857819999992E-2</v>
      </c>
      <c r="I93" s="83">
        <f>_xlfn.IFNA(INDEX('Shultis Faw'!$C$2:$C$26,MATCH($C93,'Shultis Faw'!$A$2:$A$26,1))+($C93-INDEX('Shultis Faw'!$A$2:$A$26,MATCH($C93,'Shultis Faw'!$A$2:$A$26,1)))*(INDEX('Shultis Faw'!$C$2:$C$26,MATCH($C93,'Shultis Faw'!$A$2:$A$26,1)+1)-INDEX('Shultis Faw'!$C$2:$C$26,MATCH($C93,'Shultis Faw'!$A$2:$A$26,1)))/(INDEX('Shultis Faw'!$A$2:$A$26,MATCH($C93,'Shultis Faw'!$A$2:$A$26,1)+1)-INDEX('Shultis Faw'!$A$2:$A$26,MATCH($C93,'Shultis Faw'!$A$2:$A$26,1))),$C93*'Shultis Faw'!$C$2/'Shultis Faw'!$A$2)</f>
        <v>2.2888899999999999</v>
      </c>
      <c r="J93" s="83">
        <f>_xlfn.IFNA(INDEX('Shultis Faw'!$D$2:$D$26,MATCH($C93,'Shultis Faw'!$A$2:$A$26,1))+($C93-INDEX('Shultis Faw'!$A$2:$A$26,MATCH($C93,'Shultis Faw'!$A$2:$A$26,1)))*(INDEX('Shultis Faw'!$D$2:$D$26,MATCH($C93,'Shultis Faw'!$A$2:$A$26,1)+1)-INDEX('Shultis Faw'!$D$2:$D$26,MATCH($C93,'Shultis Faw'!$A$2:$A$26,1)))/(INDEX('Shultis Faw'!$A$2:$A$26,MATCH($C93,'Shultis Faw'!$A$2:$A$26,1)+1)-INDEX('Shultis Faw'!$A$2:$A$26,MATCH($C93,'Shultis Faw'!$A$2:$A$26,1))),$C93*'Shultis Faw'!$D$2/'Shultis Faw'!$A$2)</f>
        <v>1.6069100000000001</v>
      </c>
      <c r="K93" s="83">
        <f>_xlfn.IFNA(INDEX('Shultis Faw'!$B$2:$B$26,MATCH($C93,'Shultis Faw'!$A$2:$A$26,1))+($C93-INDEX('Shultis Faw'!$A$2:$A$26,MATCH($C93,'Shultis Faw'!$A$2:$A$26,1)))*(INDEX('Shultis Faw'!$B$2:$B$26,MATCH($C93,'Shultis Faw'!$A$2:$A$26,1)+1)-INDEX('Shultis Faw'!$B$2:$B$26,MATCH($C93,'Shultis Faw'!$A$2:$A$26,1)))/(INDEX('Shultis Faw'!$A$2:$A$26,MATCH($C93,'Shultis Faw'!$A$2:$A$26,1)+1)-INDEX('Shultis Faw'!$A$2:$A$26,MATCH($C93,'Shultis Faw'!$A$2:$A$26,1))),$C93*'Shultis Faw'!$B$2/'Shultis Faw'!$A$2)</f>
        <v>-0.113854</v>
      </c>
      <c r="L93" s="83">
        <f>_xlfn.IFNA(INDEX('Shultis Faw'!$E$2:$E$26,MATCH($C93,'Shultis Faw'!$A$2:$A$26,1))+($C93-INDEX('Shultis Faw'!$A$2:$A$26,MATCH($C93,'Shultis Faw'!$A$2:$A$26,1)))*(INDEX('Shultis Faw'!$E$2:$E$26,MATCH($C93,'Shultis Faw'!$A$2:$A$26,1)+1)-INDEX('Shultis Faw'!$E$2:$E$26,MATCH($C93,'Shultis Faw'!$A$2:$A$26,1)))/(INDEX('Shultis Faw'!$A$2:$A$26,MATCH($C93,'Shultis Faw'!$A$2:$A$26,1)+1)-INDEX('Shultis Faw'!$A$2:$A$26,MATCH($C93,'Shultis Faw'!$A$2:$A$26,1))),$C93*'Shultis Faw'!$E$2/'Shultis Faw'!$A$2)</f>
        <v>4.6775600000000001E-2</v>
      </c>
      <c r="M93" s="83">
        <f>_xlfn.IFNA(INDEX('Shultis Faw'!$F$2:$F$26,MATCH($C93,'Shultis Faw'!$A$2:$A$26,1))+($C93-INDEX('Shultis Faw'!$A$2:$A$26,MATCH($C93,'Shultis Faw'!$A$2:$A$26,1)))*(INDEX('Shultis Faw'!$F$2:$F$26,MATCH($C93,'Shultis Faw'!$A$2:$A$26,1)+1)-INDEX('Shultis Faw'!$F$2:$F$26,MATCH($C93,'Shultis Faw'!$A$2:$A$26,1)))/(INDEX('Shultis Faw'!$A$2:$A$26,MATCH($C93,'Shultis Faw'!$A$2:$A$26,1)+1)-INDEX('Shultis Faw'!$A$2:$A$26,MATCH($C93,'Shultis Faw'!$A$2:$A$26,1))),$C93*'Shultis Faw'!$F$2/'Shultis Faw'!$A$2)</f>
        <v>14.29942</v>
      </c>
      <c r="N93" s="83">
        <f>J93*(H93*'Externe blootstelling'!$D$23/2)^K93+L93*(TANH(((H93*'Externe blootstelling'!$D$23)/(2*M93))-2)-TANH(-2))/(1-TANH(-2))</f>
        <v>1.5664401926727889</v>
      </c>
      <c r="O93" s="83">
        <f>IF(N93=1,1+(I93-1)*H93*'Externe blootstelling'!$D$23/2,1+(I93-1)*(N93^(H93*'Externe blootstelling'!$D$23/2)-1)/(N93-1))</f>
        <v>2.7161256866305203</v>
      </c>
      <c r="P93" s="67">
        <f>G93*EXP(-H93*'Externe blootstelling'!$D$23/2)*O93</f>
        <v>5.9786814499166719E-7</v>
      </c>
      <c r="Q93" s="68"/>
    </row>
    <row r="94" spans="1:17" x14ac:dyDescent="0.2">
      <c r="A94" s="217"/>
      <c r="B94" s="64" t="s">
        <v>104</v>
      </c>
      <c r="C94" s="65">
        <v>0.71389999999999998</v>
      </c>
      <c r="D94" s="66">
        <f t="shared" si="4"/>
        <v>1.14224E-13</v>
      </c>
      <c r="E94" s="66">
        <v>2.3099999999999999E-6</v>
      </c>
      <c r="F94" s="66">
        <f>_xlfn.IFNA(INDEX('hp (pSv cm2)'!$B$2:$B$52,MATCH($C94,'hp (pSv cm2)'!$A$2:$A$52,1))+($C94-INDEX('hp (pSv cm2)'!$A$2:$A$52,MATCH($C94,'hp (pSv cm2)'!$A$2:$A$52,1)))*(INDEX('hp (pSv cm2)'!$B$2:$B$52,MATCH($C94,'hp (pSv cm2)'!$A$2:$A$52,1)+1)-INDEX('hp (pSv cm2)'!$B$2:$B$52,MATCH($C94,'hp (pSv cm2)'!$A$2:$A$52,1)))/(INDEX('hp (pSv cm2)'!$A$2:$A$52,MATCH($C94,'hp (pSv cm2)'!$A$2:$A$52,1)+1)-INDEX('hp (pSv cm2)'!$A$2:$A$52,MATCH($C94,'hp (pSv cm2)'!$A$2:$A$52,1))),$C94*'hp (pSv cm2)'!$B$2/'hp (pSv cm2)'!$A$2)</f>
        <v>3.3769899999999997</v>
      </c>
      <c r="G94" s="67">
        <f t="shared" si="5"/>
        <v>7.8008468999999985E-6</v>
      </c>
      <c r="H94" s="83">
        <f>_xlfn.IFNA(0.997*(INDEX('Mass attenuation coefficients'!$B$2:$B$37,MATCH($C94,'Mass attenuation coefficients'!$A$2:$A$37,1))+($C94-INDEX('Mass attenuation coefficients'!$A$2:$A$37,MATCH($C94,'Mass attenuation coefficients'!$A$2:$A$37,1)))*(INDEX('Mass attenuation coefficients'!$B$2:$B$37,MATCH($C94,'Mass attenuation coefficients'!$A$2:$A$37,1)+1)-INDEX('Mass attenuation coefficients'!$B$2:$B$37,MATCH($C94,'Mass attenuation coefficients'!$A$2:$A$37,1)))/(INDEX('Mass attenuation coefficients'!$A$2:$A$37,MATCH($C94,'Mass attenuation coefficients'!$A$2:$A$37,1)+1)-INDEX('Mass attenuation coefficients'!$A$2:$A$37,MATCH($C94,'Mass attenuation coefficients'!$A$2:$A$37,1)))),0.997*$C94*'Mass attenuation coefficients'!$B$2/'Mass attenuation coefficients'!$A$2)</f>
        <v>8.3096714734999994E-2</v>
      </c>
      <c r="I94" s="83">
        <f>_xlfn.IFNA(INDEX('Shultis Faw'!$C$2:$C$26,MATCH($C94,'Shultis Faw'!$A$2:$A$26,1))+($C94-INDEX('Shultis Faw'!$A$2:$A$26,MATCH($C94,'Shultis Faw'!$A$2:$A$26,1)))*(INDEX('Shultis Faw'!$C$2:$C$26,MATCH($C94,'Shultis Faw'!$A$2:$A$26,1)+1)-INDEX('Shultis Faw'!$C$2:$C$26,MATCH($C94,'Shultis Faw'!$A$2:$A$26,1)))/(INDEX('Shultis Faw'!$A$2:$A$26,MATCH($C94,'Shultis Faw'!$A$2:$A$26,1)+1)-INDEX('Shultis Faw'!$A$2:$A$26,MATCH($C94,'Shultis Faw'!$A$2:$A$26,1))),$C94*'Shultis Faw'!$C$2/'Shultis Faw'!$A$2)</f>
        <v>2.2830325</v>
      </c>
      <c r="J94" s="83">
        <f>_xlfn.IFNA(INDEX('Shultis Faw'!$D$2:$D$26,MATCH($C94,'Shultis Faw'!$A$2:$A$26,1))+($C94-INDEX('Shultis Faw'!$A$2:$A$26,MATCH($C94,'Shultis Faw'!$A$2:$A$26,1)))*(INDEX('Shultis Faw'!$D$2:$D$26,MATCH($C94,'Shultis Faw'!$A$2:$A$26,1)+1)-INDEX('Shultis Faw'!$D$2:$D$26,MATCH($C94,'Shultis Faw'!$A$2:$A$26,1)))/(INDEX('Shultis Faw'!$A$2:$A$26,MATCH($C94,'Shultis Faw'!$A$2:$A$26,1)+1)-INDEX('Shultis Faw'!$A$2:$A$26,MATCH($C94,'Shultis Faw'!$A$2:$A$26,1))),$C94*'Shultis Faw'!$D$2/'Shultis Faw'!$A$2)</f>
        <v>1.6021175000000001</v>
      </c>
      <c r="K94" s="83">
        <f>_xlfn.IFNA(INDEX('Shultis Faw'!$B$2:$B$26,MATCH($C94,'Shultis Faw'!$A$2:$A$26,1))+($C94-INDEX('Shultis Faw'!$A$2:$A$26,MATCH($C94,'Shultis Faw'!$A$2:$A$26,1)))*(INDEX('Shultis Faw'!$B$2:$B$26,MATCH($C94,'Shultis Faw'!$A$2:$A$26,1)+1)-INDEX('Shultis Faw'!$B$2:$B$26,MATCH($C94,'Shultis Faw'!$A$2:$A$26,1)))/(INDEX('Shultis Faw'!$A$2:$A$26,MATCH($C94,'Shultis Faw'!$A$2:$A$26,1)+1)-INDEX('Shultis Faw'!$A$2:$A$26,MATCH($C94,'Shultis Faw'!$A$2:$A$26,1))),$C94*'Shultis Faw'!$B$2/'Shultis Faw'!$A$2)</f>
        <v>-0.1131795</v>
      </c>
      <c r="L94" s="83">
        <f>_xlfn.IFNA(INDEX('Shultis Faw'!$E$2:$E$26,MATCH($C94,'Shultis Faw'!$A$2:$A$26,1))+($C94-INDEX('Shultis Faw'!$A$2:$A$26,MATCH($C94,'Shultis Faw'!$A$2:$A$26,1)))*(INDEX('Shultis Faw'!$E$2:$E$26,MATCH($C94,'Shultis Faw'!$A$2:$A$26,1)+1)-INDEX('Shultis Faw'!$E$2:$E$26,MATCH($C94,'Shultis Faw'!$A$2:$A$26,1)))/(INDEX('Shultis Faw'!$A$2:$A$26,MATCH($C94,'Shultis Faw'!$A$2:$A$26,1)+1)-INDEX('Shultis Faw'!$A$2:$A$26,MATCH($C94,'Shultis Faw'!$A$2:$A$26,1))),$C94*'Shultis Faw'!$E$2/'Shultis Faw'!$A$2)</f>
        <v>4.6541300000000001E-2</v>
      </c>
      <c r="M94" s="83">
        <f>_xlfn.IFNA(INDEX('Shultis Faw'!$F$2:$F$26,MATCH($C94,'Shultis Faw'!$A$2:$A$26,1))+($C94-INDEX('Shultis Faw'!$A$2:$A$26,MATCH($C94,'Shultis Faw'!$A$2:$A$26,1)))*(INDEX('Shultis Faw'!$F$2:$F$26,MATCH($C94,'Shultis Faw'!$A$2:$A$26,1)+1)-INDEX('Shultis Faw'!$F$2:$F$26,MATCH($C94,'Shultis Faw'!$A$2:$A$26,1)))/(INDEX('Shultis Faw'!$A$2:$A$26,MATCH($C94,'Shultis Faw'!$A$2:$A$26,1)+1)-INDEX('Shultis Faw'!$A$2:$A$26,MATCH($C94,'Shultis Faw'!$A$2:$A$26,1))),$C94*'Shultis Faw'!$F$2/'Shultis Faw'!$A$2)</f>
        <v>14.304034999999999</v>
      </c>
      <c r="N94" s="83">
        <f>J94*(H94*'Externe blootstelling'!$D$23/2)^K94+L94*(TANH(((H94*'Externe blootstelling'!$D$23)/(2*M94))-2)-TANH(-2))/(1-TANH(-2))</f>
        <v>1.5628238941915968</v>
      </c>
      <c r="O94" s="83">
        <f>IF(N94=1,1+(I94-1)*H94*'Externe blootstelling'!$D$23/2,1+(I94-1)*(N94^(H94*'Externe blootstelling'!$D$23/2)-1)/(N94-1))</f>
        <v>2.6974470367855474</v>
      </c>
      <c r="P94" s="67">
        <f>G94*EXP(-H94*'Externe blootstelling'!$D$23/2)*O94</f>
        <v>6.0501760299066999E-6</v>
      </c>
      <c r="Q94" s="68"/>
    </row>
    <row r="95" spans="1:17" x14ac:dyDescent="0.2">
      <c r="A95" s="217"/>
      <c r="B95" s="64" t="s">
        <v>104</v>
      </c>
      <c r="C95" s="65">
        <v>0.71899999999999997</v>
      </c>
      <c r="D95" s="66">
        <f t="shared" si="4"/>
        <v>1.1503999999999998E-13</v>
      </c>
      <c r="E95" s="66">
        <v>2.4999999999999999E-7</v>
      </c>
      <c r="F95" s="66">
        <f>_xlfn.IFNA(INDEX('hp (pSv cm2)'!$B$2:$B$52,MATCH($C95,'hp (pSv cm2)'!$A$2:$A$52,1))+($C95-INDEX('hp (pSv cm2)'!$A$2:$A$52,MATCH($C95,'hp (pSv cm2)'!$A$2:$A$52,1)))*(INDEX('hp (pSv cm2)'!$B$2:$B$52,MATCH($C95,'hp (pSv cm2)'!$A$2:$A$52,1)+1)-INDEX('hp (pSv cm2)'!$B$2:$B$52,MATCH($C95,'hp (pSv cm2)'!$A$2:$A$52,1)))/(INDEX('hp (pSv cm2)'!$A$2:$A$52,MATCH($C95,'hp (pSv cm2)'!$A$2:$A$52,1)+1)-INDEX('hp (pSv cm2)'!$A$2:$A$52,MATCH($C95,'hp (pSv cm2)'!$A$2:$A$52,1))),$C95*'hp (pSv cm2)'!$B$2/'hp (pSv cm2)'!$A$2)</f>
        <v>3.3978999999999999</v>
      </c>
      <c r="G95" s="67">
        <f t="shared" si="5"/>
        <v>8.4947499999999992E-7</v>
      </c>
      <c r="H95" s="83">
        <f>_xlfn.IFNA(0.997*(INDEX('Mass attenuation coefficients'!$B$2:$B$37,MATCH($C95,'Mass attenuation coefficients'!$A$2:$A$37,1))+($C95-INDEX('Mass attenuation coefficients'!$A$2:$A$37,MATCH($C95,'Mass attenuation coefficients'!$A$2:$A$37,1)))*(INDEX('Mass attenuation coefficients'!$B$2:$B$37,MATCH($C95,'Mass attenuation coefficients'!$A$2:$A$37,1)+1)-INDEX('Mass attenuation coefficients'!$B$2:$B$37,MATCH($C95,'Mass attenuation coefficients'!$A$2:$A$37,1)))/(INDEX('Mass attenuation coefficients'!$A$2:$A$37,MATCH($C95,'Mass attenuation coefficients'!$A$2:$A$37,1)+1)-INDEX('Mass attenuation coefficients'!$A$2:$A$37,MATCH($C95,'Mass attenuation coefficients'!$A$2:$A$37,1)))),0.997*$C95*'Mass attenuation coefficients'!$B$2/'Mass attenuation coefficients'!$A$2)</f>
        <v>8.2819344350000004E-2</v>
      </c>
      <c r="I95" s="83">
        <f>_xlfn.IFNA(INDEX('Shultis Faw'!$C$2:$C$26,MATCH($C95,'Shultis Faw'!$A$2:$A$26,1))+($C95-INDEX('Shultis Faw'!$A$2:$A$26,MATCH($C95,'Shultis Faw'!$A$2:$A$26,1)))*(INDEX('Shultis Faw'!$C$2:$C$26,MATCH($C95,'Shultis Faw'!$A$2:$A$26,1)+1)-INDEX('Shultis Faw'!$C$2:$C$26,MATCH($C95,'Shultis Faw'!$A$2:$A$26,1)))/(INDEX('Shultis Faw'!$A$2:$A$26,MATCH($C95,'Shultis Faw'!$A$2:$A$26,1)+1)-INDEX('Shultis Faw'!$A$2:$A$26,MATCH($C95,'Shultis Faw'!$A$2:$A$26,1))),$C95*'Shultis Faw'!$C$2/'Shultis Faw'!$A$2)</f>
        <v>2.2788249999999999</v>
      </c>
      <c r="J95" s="83">
        <f>_xlfn.IFNA(INDEX('Shultis Faw'!$D$2:$D$26,MATCH($C95,'Shultis Faw'!$A$2:$A$26,1))+($C95-INDEX('Shultis Faw'!$A$2:$A$26,MATCH($C95,'Shultis Faw'!$A$2:$A$26,1)))*(INDEX('Shultis Faw'!$D$2:$D$26,MATCH($C95,'Shultis Faw'!$A$2:$A$26,1)+1)-INDEX('Shultis Faw'!$D$2:$D$26,MATCH($C95,'Shultis Faw'!$A$2:$A$26,1)))/(INDEX('Shultis Faw'!$A$2:$A$26,MATCH($C95,'Shultis Faw'!$A$2:$A$26,1)+1)-INDEX('Shultis Faw'!$A$2:$A$26,MATCH($C95,'Shultis Faw'!$A$2:$A$26,1))),$C95*'Shultis Faw'!$D$2/'Shultis Faw'!$A$2)</f>
        <v>1.5986750000000001</v>
      </c>
      <c r="K95" s="83">
        <f>_xlfn.IFNA(INDEX('Shultis Faw'!$B$2:$B$26,MATCH($C95,'Shultis Faw'!$A$2:$A$26,1))+($C95-INDEX('Shultis Faw'!$A$2:$A$26,MATCH($C95,'Shultis Faw'!$A$2:$A$26,1)))*(INDEX('Shultis Faw'!$B$2:$B$26,MATCH($C95,'Shultis Faw'!$A$2:$A$26,1)+1)-INDEX('Shultis Faw'!$B$2:$B$26,MATCH($C95,'Shultis Faw'!$A$2:$A$26,1)))/(INDEX('Shultis Faw'!$A$2:$A$26,MATCH($C95,'Shultis Faw'!$A$2:$A$26,1)+1)-INDEX('Shultis Faw'!$A$2:$A$26,MATCH($C95,'Shultis Faw'!$A$2:$A$26,1))),$C95*'Shultis Faw'!$B$2/'Shultis Faw'!$A$2)</f>
        <v>-0.112695</v>
      </c>
      <c r="L95" s="83">
        <f>_xlfn.IFNA(INDEX('Shultis Faw'!$E$2:$E$26,MATCH($C95,'Shultis Faw'!$A$2:$A$26,1))+($C95-INDEX('Shultis Faw'!$A$2:$A$26,MATCH($C95,'Shultis Faw'!$A$2:$A$26,1)))*(INDEX('Shultis Faw'!$E$2:$E$26,MATCH($C95,'Shultis Faw'!$A$2:$A$26,1)+1)-INDEX('Shultis Faw'!$E$2:$E$26,MATCH($C95,'Shultis Faw'!$A$2:$A$26,1)))/(INDEX('Shultis Faw'!$A$2:$A$26,MATCH($C95,'Shultis Faw'!$A$2:$A$26,1)+1)-INDEX('Shultis Faw'!$A$2:$A$26,MATCH($C95,'Shultis Faw'!$A$2:$A$26,1))),$C95*'Shultis Faw'!$E$2/'Shultis Faw'!$A$2)</f>
        <v>4.6373000000000004E-2</v>
      </c>
      <c r="M95" s="83">
        <f>_xlfn.IFNA(INDEX('Shultis Faw'!$F$2:$F$26,MATCH($C95,'Shultis Faw'!$A$2:$A$26,1))+($C95-INDEX('Shultis Faw'!$A$2:$A$26,MATCH($C95,'Shultis Faw'!$A$2:$A$26,1)))*(INDEX('Shultis Faw'!$F$2:$F$26,MATCH($C95,'Shultis Faw'!$A$2:$A$26,1)+1)-INDEX('Shultis Faw'!$F$2:$F$26,MATCH($C95,'Shultis Faw'!$A$2:$A$26,1)))/(INDEX('Shultis Faw'!$A$2:$A$26,MATCH($C95,'Shultis Faw'!$A$2:$A$26,1)+1)-INDEX('Shultis Faw'!$A$2:$A$26,MATCH($C95,'Shultis Faw'!$A$2:$A$26,1))),$C95*'Shultis Faw'!$F$2/'Shultis Faw'!$A$2)</f>
        <v>14.30735</v>
      </c>
      <c r="N95" s="83">
        <f>J95*(H95*'Externe blootstelling'!$D$23/2)^K95+L95*(TANH(((H95*'Externe blootstelling'!$D$23)/(2*M95))-2)-TANH(-2))/(1-TANH(-2))</f>
        <v>1.560219135820901</v>
      </c>
      <c r="O95" s="83">
        <f>IF(N95=1,1+(I95-1)*H95*'Externe blootstelling'!$D$23/2,1+(I95-1)*(N95^(H95*'Externe blootstelling'!$D$23/2)-1)/(N95-1))</f>
        <v>2.6841269251485977</v>
      </c>
      <c r="P95" s="67">
        <f>G95*EXP(-H95*'Externe blootstelling'!$D$23/2)*O95</f>
        <v>6.5831520652326499E-7</v>
      </c>
      <c r="Q95" s="68"/>
    </row>
    <row r="96" spans="1:17" x14ac:dyDescent="0.2">
      <c r="A96" s="217"/>
      <c r="B96" s="64" t="s">
        <v>104</v>
      </c>
      <c r="C96" s="65">
        <v>0.76049999999999995</v>
      </c>
      <c r="D96" s="66">
        <f t="shared" ref="D96:D97" si="6">C96*1000000*1.6E-19</f>
        <v>1.2167999999999999E-13</v>
      </c>
      <c r="E96" s="66">
        <v>3.2000000000000001E-7</v>
      </c>
      <c r="F96" s="66">
        <f>_xlfn.IFNA(INDEX('hp (pSv cm2)'!$B$2:$B$52,MATCH($C96,'hp (pSv cm2)'!$A$2:$A$52,1))+($C96-INDEX('hp (pSv cm2)'!$A$2:$A$52,MATCH($C96,'hp (pSv cm2)'!$A$2:$A$52,1)))*(INDEX('hp (pSv cm2)'!$B$2:$B$52,MATCH($C96,'hp (pSv cm2)'!$A$2:$A$52,1)+1)-INDEX('hp (pSv cm2)'!$B$2:$B$52,MATCH($C96,'hp (pSv cm2)'!$A$2:$A$52,1)))/(INDEX('hp (pSv cm2)'!$A$2:$A$52,MATCH($C96,'hp (pSv cm2)'!$A$2:$A$52,1)+1)-INDEX('hp (pSv cm2)'!$A$2:$A$52,MATCH($C96,'hp (pSv cm2)'!$A$2:$A$52,1))),$C96*'hp (pSv cm2)'!$B$2/'hp (pSv cm2)'!$A$2)</f>
        <v>3.5680499999999995</v>
      </c>
      <c r="G96" s="67">
        <f t="shared" ref="G96:G97" si="7">F96*E96</f>
        <v>1.1417759999999998E-6</v>
      </c>
      <c r="H96" s="83">
        <f>_xlfn.IFNA(0.997*(INDEX('Mass attenuation coefficients'!$B$2:$B$37,MATCH($C96,'Mass attenuation coefficients'!$A$2:$A$37,1))+($C96-INDEX('Mass attenuation coefficients'!$A$2:$A$37,MATCH($C96,'Mass attenuation coefficients'!$A$2:$A$37,1)))*(INDEX('Mass attenuation coefficients'!$B$2:$B$37,MATCH($C96,'Mass attenuation coefficients'!$A$2:$A$37,1)+1)-INDEX('Mass attenuation coefficients'!$B$2:$B$37,MATCH($C96,'Mass attenuation coefficients'!$A$2:$A$37,1)))/(INDEX('Mass attenuation coefficients'!$A$2:$A$37,MATCH($C96,'Mass attenuation coefficients'!$A$2:$A$37,1)+1)-INDEX('Mass attenuation coefficients'!$A$2:$A$37,MATCH($C96,'Mass attenuation coefficients'!$A$2:$A$37,1)))),0.997*$C96*'Mass attenuation coefficients'!$B$2/'Mass attenuation coefficients'!$A$2)</f>
        <v>8.0562310825000011E-2</v>
      </c>
      <c r="I96" s="83">
        <f>_xlfn.IFNA(INDEX('Shultis Faw'!$C$2:$C$26,MATCH($C96,'Shultis Faw'!$A$2:$A$26,1))+($C96-INDEX('Shultis Faw'!$A$2:$A$26,MATCH($C96,'Shultis Faw'!$A$2:$A$26,1)))*(INDEX('Shultis Faw'!$C$2:$C$26,MATCH($C96,'Shultis Faw'!$A$2:$A$26,1)+1)-INDEX('Shultis Faw'!$C$2:$C$26,MATCH($C96,'Shultis Faw'!$A$2:$A$26,1)))/(INDEX('Shultis Faw'!$A$2:$A$26,MATCH($C96,'Shultis Faw'!$A$2:$A$26,1)+1)-INDEX('Shultis Faw'!$A$2:$A$26,MATCH($C96,'Shultis Faw'!$A$2:$A$26,1))),$C96*'Shultis Faw'!$C$2/'Shultis Faw'!$A$2)</f>
        <v>2.2445875000000002</v>
      </c>
      <c r="J96" s="83">
        <f>_xlfn.IFNA(INDEX('Shultis Faw'!$D$2:$D$26,MATCH($C96,'Shultis Faw'!$A$2:$A$26,1))+($C96-INDEX('Shultis Faw'!$A$2:$A$26,MATCH($C96,'Shultis Faw'!$A$2:$A$26,1)))*(INDEX('Shultis Faw'!$D$2:$D$26,MATCH($C96,'Shultis Faw'!$A$2:$A$26,1)+1)-INDEX('Shultis Faw'!$D$2:$D$26,MATCH($C96,'Shultis Faw'!$A$2:$A$26,1)))/(INDEX('Shultis Faw'!$A$2:$A$26,MATCH($C96,'Shultis Faw'!$A$2:$A$26,1)+1)-INDEX('Shultis Faw'!$A$2:$A$26,MATCH($C96,'Shultis Faw'!$A$2:$A$26,1))),$C96*'Shultis Faw'!$D$2/'Shultis Faw'!$A$2)</f>
        <v>1.5706625000000001</v>
      </c>
      <c r="K96" s="83">
        <f>_xlfn.IFNA(INDEX('Shultis Faw'!$B$2:$B$26,MATCH($C96,'Shultis Faw'!$A$2:$A$26,1))+($C96-INDEX('Shultis Faw'!$A$2:$A$26,MATCH($C96,'Shultis Faw'!$A$2:$A$26,1)))*(INDEX('Shultis Faw'!$B$2:$B$26,MATCH($C96,'Shultis Faw'!$A$2:$A$26,1)+1)-INDEX('Shultis Faw'!$B$2:$B$26,MATCH($C96,'Shultis Faw'!$A$2:$A$26,1)))/(INDEX('Shultis Faw'!$A$2:$A$26,MATCH($C96,'Shultis Faw'!$A$2:$A$26,1)+1)-INDEX('Shultis Faw'!$A$2:$A$26,MATCH($C96,'Shultis Faw'!$A$2:$A$26,1))),$C96*'Shultis Faw'!$B$2/'Shultis Faw'!$A$2)</f>
        <v>-0.1087525</v>
      </c>
      <c r="L96" s="83">
        <f>_xlfn.IFNA(INDEX('Shultis Faw'!$E$2:$E$26,MATCH($C96,'Shultis Faw'!$A$2:$A$26,1))+($C96-INDEX('Shultis Faw'!$A$2:$A$26,MATCH($C96,'Shultis Faw'!$A$2:$A$26,1)))*(INDEX('Shultis Faw'!$E$2:$E$26,MATCH($C96,'Shultis Faw'!$A$2:$A$26,1)+1)-INDEX('Shultis Faw'!$E$2:$E$26,MATCH($C96,'Shultis Faw'!$A$2:$A$26,1)))/(INDEX('Shultis Faw'!$A$2:$A$26,MATCH($C96,'Shultis Faw'!$A$2:$A$26,1)+1)-INDEX('Shultis Faw'!$A$2:$A$26,MATCH($C96,'Shultis Faw'!$A$2:$A$26,1))),$C96*'Shultis Faw'!$E$2/'Shultis Faw'!$A$2)</f>
        <v>4.5003500000000002E-2</v>
      </c>
      <c r="M96" s="83">
        <f>_xlfn.IFNA(INDEX('Shultis Faw'!$F$2:$F$26,MATCH($C96,'Shultis Faw'!$A$2:$A$26,1))+($C96-INDEX('Shultis Faw'!$A$2:$A$26,MATCH($C96,'Shultis Faw'!$A$2:$A$26,1)))*(INDEX('Shultis Faw'!$F$2:$F$26,MATCH($C96,'Shultis Faw'!$A$2:$A$26,1)+1)-INDEX('Shultis Faw'!$F$2:$F$26,MATCH($C96,'Shultis Faw'!$A$2:$A$26,1)))/(INDEX('Shultis Faw'!$A$2:$A$26,MATCH($C96,'Shultis Faw'!$A$2:$A$26,1)+1)-INDEX('Shultis Faw'!$A$2:$A$26,MATCH($C96,'Shultis Faw'!$A$2:$A$26,1))),$C96*'Shultis Faw'!$F$2/'Shultis Faw'!$A$2)</f>
        <v>14.334325</v>
      </c>
      <c r="N96" s="83">
        <f>J96*(H96*'Externe blootstelling'!$D$23/2)^K96+L96*(TANH(((H96*'Externe blootstelling'!$D$23)/(2*M96))-2)-TANH(-2))/(1-TANH(-2))</f>
        <v>1.5388019173060425</v>
      </c>
      <c r="O96" s="83">
        <f>IF(N96=1,1+(I96-1)*H96*'Externe blootstelling'!$D$23/2,1+(I96-1)*(N96^(H96*'Externe blootstelling'!$D$23/2)-1)/(N96-1))</f>
        <v>2.5786933799196374</v>
      </c>
      <c r="P96" s="67">
        <f>G96*EXP(-H96*'Externe blootstelling'!$D$23/2)*O96</f>
        <v>8.7935474152583788E-7</v>
      </c>
      <c r="Q96" s="68"/>
    </row>
    <row r="97" spans="1:21" x14ac:dyDescent="0.2">
      <c r="A97" s="217"/>
      <c r="B97" s="64" t="s">
        <v>104</v>
      </c>
      <c r="C97" s="65">
        <v>0.76379999999999992</v>
      </c>
      <c r="D97" s="66">
        <f t="shared" si="6"/>
        <v>1.2220799999999997E-13</v>
      </c>
      <c r="E97" s="66">
        <v>4.3999999999999997E-7</v>
      </c>
      <c r="F97" s="66">
        <f>_xlfn.IFNA(INDEX('hp (pSv cm2)'!$B$2:$B$52,MATCH($C97,'hp (pSv cm2)'!$A$2:$A$52,1))+($C97-INDEX('hp (pSv cm2)'!$A$2:$A$52,MATCH($C97,'hp (pSv cm2)'!$A$2:$A$52,1)))*(INDEX('hp (pSv cm2)'!$B$2:$B$52,MATCH($C97,'hp (pSv cm2)'!$A$2:$A$52,1)+1)-INDEX('hp (pSv cm2)'!$B$2:$B$52,MATCH($C97,'hp (pSv cm2)'!$A$2:$A$52,1)))/(INDEX('hp (pSv cm2)'!$A$2:$A$52,MATCH($C97,'hp (pSv cm2)'!$A$2:$A$52,1)+1)-INDEX('hp (pSv cm2)'!$A$2:$A$52,MATCH($C97,'hp (pSv cm2)'!$A$2:$A$52,1))),$C97*'hp (pSv cm2)'!$B$2/'hp (pSv cm2)'!$A$2)</f>
        <v>3.5815799999999998</v>
      </c>
      <c r="G97" s="67">
        <f t="shared" si="7"/>
        <v>1.5758951999999998E-6</v>
      </c>
      <c r="H97" s="83">
        <f>_xlfn.IFNA(0.997*(INDEX('Mass attenuation coefficients'!$B$2:$B$37,MATCH($C97,'Mass attenuation coefficients'!$A$2:$A$37,1))+($C97-INDEX('Mass attenuation coefficients'!$A$2:$A$37,MATCH($C97,'Mass attenuation coefficients'!$A$2:$A$37,1)))*(INDEX('Mass attenuation coefficients'!$B$2:$B$37,MATCH($C97,'Mass attenuation coefficients'!$A$2:$A$37,1)+1)-INDEX('Mass attenuation coefficients'!$B$2:$B$37,MATCH($C97,'Mass attenuation coefficients'!$A$2:$A$37,1)))/(INDEX('Mass attenuation coefficients'!$A$2:$A$37,MATCH($C97,'Mass attenuation coefficients'!$A$2:$A$37,1)+1)-INDEX('Mass attenuation coefficients'!$A$2:$A$37,MATCH($C97,'Mass attenuation coefficients'!$A$2:$A$37,1)))),0.997*$C97*'Mass attenuation coefficients'!$B$2/'Mass attenuation coefficients'!$A$2)</f>
        <v>8.0382835870000002E-2</v>
      </c>
      <c r="I97" s="83">
        <f>_xlfn.IFNA(INDEX('Shultis Faw'!$C$2:$C$26,MATCH($C97,'Shultis Faw'!$A$2:$A$26,1))+($C97-INDEX('Shultis Faw'!$A$2:$A$26,MATCH($C97,'Shultis Faw'!$A$2:$A$26,1)))*(INDEX('Shultis Faw'!$C$2:$C$26,MATCH($C97,'Shultis Faw'!$A$2:$A$26,1)+1)-INDEX('Shultis Faw'!$C$2:$C$26,MATCH($C97,'Shultis Faw'!$A$2:$A$26,1)))/(INDEX('Shultis Faw'!$A$2:$A$26,MATCH($C97,'Shultis Faw'!$A$2:$A$26,1)+1)-INDEX('Shultis Faw'!$A$2:$A$26,MATCH($C97,'Shultis Faw'!$A$2:$A$26,1))),$C97*'Shultis Faw'!$C$2/'Shultis Faw'!$A$2)</f>
        <v>2.2418650000000002</v>
      </c>
      <c r="J97" s="83">
        <f>_xlfn.IFNA(INDEX('Shultis Faw'!$D$2:$D$26,MATCH($C97,'Shultis Faw'!$A$2:$A$26,1))+($C97-INDEX('Shultis Faw'!$A$2:$A$26,MATCH($C97,'Shultis Faw'!$A$2:$A$26,1)))*(INDEX('Shultis Faw'!$D$2:$D$26,MATCH($C97,'Shultis Faw'!$A$2:$A$26,1)+1)-INDEX('Shultis Faw'!$D$2:$D$26,MATCH($C97,'Shultis Faw'!$A$2:$A$26,1)))/(INDEX('Shultis Faw'!$A$2:$A$26,MATCH($C97,'Shultis Faw'!$A$2:$A$26,1)+1)-INDEX('Shultis Faw'!$A$2:$A$26,MATCH($C97,'Shultis Faw'!$A$2:$A$26,1))),$C97*'Shultis Faw'!$D$2/'Shultis Faw'!$A$2)</f>
        <v>1.568435</v>
      </c>
      <c r="K97" s="83">
        <f>_xlfn.IFNA(INDEX('Shultis Faw'!$B$2:$B$26,MATCH($C97,'Shultis Faw'!$A$2:$A$26,1))+($C97-INDEX('Shultis Faw'!$A$2:$A$26,MATCH($C97,'Shultis Faw'!$A$2:$A$26,1)))*(INDEX('Shultis Faw'!$B$2:$B$26,MATCH($C97,'Shultis Faw'!$A$2:$A$26,1)+1)-INDEX('Shultis Faw'!$B$2:$B$26,MATCH($C97,'Shultis Faw'!$A$2:$A$26,1)))/(INDEX('Shultis Faw'!$A$2:$A$26,MATCH($C97,'Shultis Faw'!$A$2:$A$26,1)+1)-INDEX('Shultis Faw'!$A$2:$A$26,MATCH($C97,'Shultis Faw'!$A$2:$A$26,1))),$C97*'Shultis Faw'!$B$2/'Shultis Faw'!$A$2)</f>
        <v>-0.10843900000000001</v>
      </c>
      <c r="L97" s="83">
        <f>_xlfn.IFNA(INDEX('Shultis Faw'!$E$2:$E$26,MATCH($C97,'Shultis Faw'!$A$2:$A$26,1))+($C97-INDEX('Shultis Faw'!$A$2:$A$26,MATCH($C97,'Shultis Faw'!$A$2:$A$26,1)))*(INDEX('Shultis Faw'!$E$2:$E$26,MATCH($C97,'Shultis Faw'!$A$2:$A$26,1)+1)-INDEX('Shultis Faw'!$E$2:$E$26,MATCH($C97,'Shultis Faw'!$A$2:$A$26,1)))/(INDEX('Shultis Faw'!$A$2:$A$26,MATCH($C97,'Shultis Faw'!$A$2:$A$26,1)+1)-INDEX('Shultis Faw'!$A$2:$A$26,MATCH($C97,'Shultis Faw'!$A$2:$A$26,1))),$C97*'Shultis Faw'!$E$2/'Shultis Faw'!$A$2)</f>
        <v>4.4894600000000007E-2</v>
      </c>
      <c r="M97" s="83">
        <f>_xlfn.IFNA(INDEX('Shultis Faw'!$F$2:$F$26,MATCH($C97,'Shultis Faw'!$A$2:$A$26,1))+($C97-INDEX('Shultis Faw'!$A$2:$A$26,MATCH($C97,'Shultis Faw'!$A$2:$A$26,1)))*(INDEX('Shultis Faw'!$F$2:$F$26,MATCH($C97,'Shultis Faw'!$A$2:$A$26,1)+1)-INDEX('Shultis Faw'!$F$2:$F$26,MATCH($C97,'Shultis Faw'!$A$2:$A$26,1)))/(INDEX('Shultis Faw'!$A$2:$A$26,MATCH($C97,'Shultis Faw'!$A$2:$A$26,1)+1)-INDEX('Shultis Faw'!$A$2:$A$26,MATCH($C97,'Shultis Faw'!$A$2:$A$26,1))),$C97*'Shultis Faw'!$F$2/'Shultis Faw'!$A$2)</f>
        <v>14.33647</v>
      </c>
      <c r="N97" s="83">
        <f>J97*(H97*'Externe blootstelling'!$D$23/2)^K97+L97*(TANH(((H97*'Externe blootstelling'!$D$23)/(2*M97))-2)-TANH(-2))/(1-TANH(-2))</f>
        <v>1.5370819296000859</v>
      </c>
      <c r="O97" s="83">
        <f>IF(N97=1,1+(I97-1)*H97*'Externe blootstelling'!$D$23/2,1+(I97-1)*(N97^(H97*'Externe blootstelling'!$D$23/2)-1)/(N97-1))</f>
        <v>2.5705314164957054</v>
      </c>
      <c r="P97" s="67">
        <f>G97*EXP(-H97*'Externe blootstelling'!$D$23/2)*O97</f>
        <v>1.2131176401747826E-6</v>
      </c>
      <c r="Q97" s="68"/>
      <c r="T97" s="76"/>
      <c r="U97" s="76"/>
    </row>
    <row r="98" spans="1:21" x14ac:dyDescent="0.2">
      <c r="A98" s="218"/>
      <c r="B98" s="64"/>
      <c r="C98" s="66"/>
      <c r="D98" s="66"/>
      <c r="E98" s="66"/>
      <c r="F98" s="66"/>
      <c r="G98" s="67"/>
      <c r="H98" s="83"/>
      <c r="I98" s="83"/>
      <c r="J98" s="83"/>
      <c r="K98" s="83"/>
      <c r="L98" s="83"/>
      <c r="M98" s="83"/>
      <c r="N98" s="83"/>
      <c r="O98" s="83"/>
      <c r="P98" s="67"/>
      <c r="Q98" s="67">
        <f>SUM(P32:P97)/SUM(G32:G97)</f>
        <v>0.78103539322473181</v>
      </c>
    </row>
    <row r="99" spans="1:21" s="62" customFormat="1" x14ac:dyDescent="0.2">
      <c r="A99" s="69"/>
      <c r="B99" s="70"/>
      <c r="C99" s="71"/>
      <c r="D99" s="71"/>
      <c r="E99" s="71"/>
      <c r="F99" s="71"/>
      <c r="G99" s="73"/>
      <c r="H99" s="84"/>
      <c r="I99" s="84"/>
      <c r="J99" s="84"/>
      <c r="K99" s="84"/>
      <c r="L99" s="84"/>
      <c r="M99" s="84"/>
      <c r="N99" s="84"/>
      <c r="O99" s="84"/>
      <c r="P99" s="73"/>
      <c r="Q99" s="73"/>
    </row>
    <row r="100" spans="1:21" x14ac:dyDescent="0.2">
      <c r="A100" s="216" t="s">
        <v>144</v>
      </c>
      <c r="B100" s="64" t="s">
        <v>102</v>
      </c>
      <c r="C100" s="66">
        <v>6.3949999999999996E-3</v>
      </c>
      <c r="D100" s="66">
        <f t="shared" ref="D100:D131" si="8">C100*1000000*1.6E-19</f>
        <v>1.0231999999999999E-15</v>
      </c>
      <c r="E100" s="66">
        <v>0.13</v>
      </c>
      <c r="F100" s="66">
        <f>_xlfn.IFNA(INDEX('hp (pSv cm2)'!$B$2:$B$52,MATCH($C100,'hp (pSv cm2)'!$A$2:$A$52,1))+($C100-INDEX('hp (pSv cm2)'!$A$2:$A$52,MATCH($C100,'hp (pSv cm2)'!$A$2:$A$52,1)))*(INDEX('hp (pSv cm2)'!$B$2:$B$52,MATCH($C100,'hp (pSv cm2)'!$A$2:$A$52,1)+1)-INDEX('hp (pSv cm2)'!$B$2:$B$52,MATCH($C100,'hp (pSv cm2)'!$A$2:$A$52,1)))/(INDEX('hp (pSv cm2)'!$A$2:$A$52,MATCH($C100,'hp (pSv cm2)'!$A$2:$A$52,1)+1)-INDEX('hp (pSv cm2)'!$A$2:$A$52,MATCH($C100,'hp (pSv cm2)'!$A$2:$A$52,1))),$C100*'hp (pSv cm2)'!$B$2/'hp (pSv cm2)'!$A$2)</f>
        <v>1.8930499999999996E-2</v>
      </c>
      <c r="G100" s="67">
        <f t="shared" ref="G100:G131" si="9">F100*E100</f>
        <v>2.4609649999999994E-3</v>
      </c>
      <c r="H100" s="83">
        <f>_xlfn.IFNA(0.997*(INDEX('Mass attenuation coefficients'!$B$2:$B$37,MATCH($C100,'Mass attenuation coefficients'!$A$2:$A$37,1))+($C100-INDEX('Mass attenuation coefficients'!$A$2:$A$37,MATCH($C100,'Mass attenuation coefficients'!$A$2:$A$37,1)))*(INDEX('Mass attenuation coefficients'!$B$2:$B$37,MATCH($C100,'Mass attenuation coefficients'!$A$2:$A$37,1)+1)-INDEX('Mass attenuation coefficients'!$B$2:$B$37,MATCH($C100,'Mass attenuation coefficients'!$A$2:$A$37,1)))/(INDEX('Mass attenuation coefficients'!$A$2:$A$37,MATCH($C100,'Mass attenuation coefficients'!$A$2:$A$37,1)+1)-INDEX('Mass attenuation coefficients'!$A$2:$A$37,MATCH($C100,'Mass attenuation coefficients'!$A$2:$A$37,1)))),0.997*$C100*'Mass attenuation coefficients'!$B$2/'Mass attenuation coefficients'!$A$2)</f>
        <v>21.756209975000001</v>
      </c>
      <c r="I100" s="83">
        <f>_xlfn.IFNA(INDEX('Shultis Faw'!$C$2:$C$26,MATCH($C100,'Shultis Faw'!$A$2:$A$26,1))+($C100-INDEX('Shultis Faw'!$A$2:$A$26,MATCH($C100,'Shultis Faw'!$A$2:$A$26,1)))*(INDEX('Shultis Faw'!$C$2:$C$26,MATCH($C100,'Shultis Faw'!$A$2:$A$26,1)+1)-INDEX('Shultis Faw'!$C$2:$C$26,MATCH($C100,'Shultis Faw'!$A$2:$A$26,1)))/(INDEX('Shultis Faw'!$A$2:$A$26,MATCH($C100,'Shultis Faw'!$A$2:$A$26,1)+1)-INDEX('Shultis Faw'!$A$2:$A$26,MATCH($C100,'Shultis Faw'!$A$2:$A$26,1))),$C100*'Shultis Faw'!$C$2/'Shultis Faw'!$A$2)</f>
        <v>0.50392599999999999</v>
      </c>
      <c r="J100" s="83">
        <f>_xlfn.IFNA(INDEX('Shultis Faw'!$D$2:$D$26,MATCH($C100,'Shultis Faw'!$A$2:$A$26,1))+($C100-INDEX('Shultis Faw'!$A$2:$A$26,MATCH($C100,'Shultis Faw'!$A$2:$A$26,1)))*(INDEX('Shultis Faw'!$D$2:$D$26,MATCH($C100,'Shultis Faw'!$A$2:$A$26,1)+1)-INDEX('Shultis Faw'!$D$2:$D$26,MATCH($C100,'Shultis Faw'!$A$2:$A$26,1)))/(INDEX('Shultis Faw'!$A$2:$A$26,MATCH($C100,'Shultis Faw'!$A$2:$A$26,1)+1)-INDEX('Shultis Faw'!$A$2:$A$26,MATCH($C100,'Shultis Faw'!$A$2:$A$26,1))),$C100*'Shultis Faw'!$D$2/'Shultis Faw'!$A$2)</f>
        <v>0.19739233333333334</v>
      </c>
      <c r="K100" s="83">
        <f>_xlfn.IFNA(INDEX('Shultis Faw'!$B$2:$B$26,MATCH($C100,'Shultis Faw'!$A$2:$A$26,1))+($C100-INDEX('Shultis Faw'!$A$2:$A$26,MATCH($C100,'Shultis Faw'!$A$2:$A$26,1)))*(INDEX('Shultis Faw'!$B$2:$B$26,MATCH($C100,'Shultis Faw'!$A$2:$A$26,1)+1)-INDEX('Shultis Faw'!$B$2:$B$26,MATCH($C100,'Shultis Faw'!$A$2:$A$26,1)))/(INDEX('Shultis Faw'!$A$2:$A$26,MATCH($C100,'Shultis Faw'!$A$2:$A$26,1)+1)-INDEX('Shultis Faw'!$A$2:$A$26,MATCH($C100,'Shultis Faw'!$A$2:$A$26,1))),$C100*'Shultis Faw'!$B$2/'Shultis Faw'!$A$2)</f>
        <v>7.3329333333333316E-2</v>
      </c>
      <c r="L100" s="83">
        <f>_xlfn.IFNA(INDEX('Shultis Faw'!$E$2:$E$26,MATCH($C100,'Shultis Faw'!$A$2:$A$26,1))+($C100-INDEX('Shultis Faw'!$A$2:$A$26,MATCH($C100,'Shultis Faw'!$A$2:$A$26,1)))*(INDEX('Shultis Faw'!$E$2:$E$26,MATCH($C100,'Shultis Faw'!$A$2:$A$26,1)+1)-INDEX('Shultis Faw'!$E$2:$E$26,MATCH($C100,'Shultis Faw'!$A$2:$A$26,1)))/(INDEX('Shultis Faw'!$A$2:$A$26,MATCH($C100,'Shultis Faw'!$A$2:$A$26,1)+1)-INDEX('Shultis Faw'!$A$2:$A$26,MATCH($C100,'Shultis Faw'!$A$2:$A$26,1))),$C100*'Shultis Faw'!$E$2/'Shultis Faw'!$A$2)</f>
        <v>-3.8711066666666669E-2</v>
      </c>
      <c r="M100" s="83">
        <f>_xlfn.IFNA(INDEX('Shultis Faw'!$F$2:$F$26,MATCH($C100,'Shultis Faw'!$A$2:$A$26,1))+($C100-INDEX('Shultis Faw'!$A$2:$A$26,MATCH($C100,'Shultis Faw'!$A$2:$A$26,1)))*(INDEX('Shultis Faw'!$F$2:$F$26,MATCH($C100,'Shultis Faw'!$A$2:$A$26,1)+1)-INDEX('Shultis Faw'!$F$2:$F$26,MATCH($C100,'Shultis Faw'!$A$2:$A$26,1)))/(INDEX('Shultis Faw'!$A$2:$A$26,MATCH($C100,'Shultis Faw'!$A$2:$A$26,1)+1)-INDEX('Shultis Faw'!$A$2:$A$26,MATCH($C100,'Shultis Faw'!$A$2:$A$26,1))),$C100*'Shultis Faw'!$F$2/'Shultis Faw'!$A$2)</f>
        <v>6.066723333333333</v>
      </c>
      <c r="N100" s="83">
        <f>J100*(H100*'Externe blootstelling'!$D$23/2)^K100+L100*(TANH(((H100*'Externe blootstelling'!$D$23)/(2*M100))-2)-TANH(-2))/(1-TANH(-2))</f>
        <v>0.26304524039602001</v>
      </c>
      <c r="O100" s="83">
        <f>IF(N100=1,1+(I100-1)*H100*'Externe blootstelling'!$D$23/2,1+(I100-1)*(N100^(H100*'Externe blootstelling'!$D$23/2)-1)/(N100-1))</f>
        <v>0.32685962939356406</v>
      </c>
      <c r="P100" s="67">
        <f>G100*EXP(-H100*'Externe blootstelling'!$D$23/2)*O100</f>
        <v>1.5011968072004513E-145</v>
      </c>
      <c r="Q100" s="68"/>
    </row>
    <row r="101" spans="1:21" x14ac:dyDescent="0.2">
      <c r="A101" s="217"/>
      <c r="B101" s="64" t="s">
        <v>102</v>
      </c>
      <c r="C101" s="66">
        <v>6.7325499999999995E-3</v>
      </c>
      <c r="D101" s="66">
        <f t="shared" si="8"/>
        <v>1.0772079999999998E-15</v>
      </c>
      <c r="E101" s="66">
        <v>1.7699999999999999E-3</v>
      </c>
      <c r="F101" s="66">
        <f>_xlfn.IFNA(INDEX('hp (pSv cm2)'!$B$2:$B$52,MATCH($C101,'hp (pSv cm2)'!$A$2:$A$52,1))+($C101-INDEX('hp (pSv cm2)'!$A$2:$A$52,MATCH($C101,'hp (pSv cm2)'!$A$2:$A$52,1)))*(INDEX('hp (pSv cm2)'!$B$2:$B$52,MATCH($C101,'hp (pSv cm2)'!$A$2:$A$52,1)+1)-INDEX('hp (pSv cm2)'!$B$2:$B$52,MATCH($C101,'hp (pSv cm2)'!$A$2:$A$52,1)))/(INDEX('hp (pSv cm2)'!$A$2:$A$52,MATCH($C101,'hp (pSv cm2)'!$A$2:$A$52,1)+1)-INDEX('hp (pSv cm2)'!$A$2:$A$52,MATCH($C101,'hp (pSv cm2)'!$A$2:$A$52,1))),$C101*'hp (pSv cm2)'!$B$2/'hp (pSv cm2)'!$A$2)</f>
        <v>2.0922044999999997E-2</v>
      </c>
      <c r="G101" s="67">
        <f t="shared" si="9"/>
        <v>3.7032019649999991E-5</v>
      </c>
      <c r="H101" s="83">
        <f>_xlfn.IFNA(0.997*(INDEX('Mass attenuation coefficients'!$B$2:$B$37,MATCH($C101,'Mass attenuation coefficients'!$A$2:$A$37,1))+($C101-INDEX('Mass attenuation coefficients'!$A$2:$A$37,MATCH($C101,'Mass attenuation coefficients'!$A$2:$A$37,1)))*(INDEX('Mass attenuation coefficients'!$B$2:$B$37,MATCH($C101,'Mass attenuation coefficients'!$A$2:$A$37,1)+1)-INDEX('Mass attenuation coefficients'!$B$2:$B$37,MATCH($C101,'Mass attenuation coefficients'!$A$2:$A$37,1)))/(INDEX('Mass attenuation coefficients'!$A$2:$A$37,MATCH($C101,'Mass attenuation coefficients'!$A$2:$A$37,1)+1)-INDEX('Mass attenuation coefficients'!$A$2:$A$37,MATCH($C101,'Mass attenuation coefficients'!$A$2:$A$37,1)))),0.997*$C101*'Mass attenuation coefficients'!$B$2/'Mass attenuation coefficients'!$A$2)</f>
        <v>19.355015982750004</v>
      </c>
      <c r="I101" s="83">
        <f>_xlfn.IFNA(INDEX('Shultis Faw'!$C$2:$C$26,MATCH($C101,'Shultis Faw'!$A$2:$A$26,1))+($C101-INDEX('Shultis Faw'!$A$2:$A$26,MATCH($C101,'Shultis Faw'!$A$2:$A$26,1)))*(INDEX('Shultis Faw'!$C$2:$C$26,MATCH($C101,'Shultis Faw'!$A$2:$A$26,1)+1)-INDEX('Shultis Faw'!$C$2:$C$26,MATCH($C101,'Shultis Faw'!$A$2:$A$26,1)))/(INDEX('Shultis Faw'!$A$2:$A$26,MATCH($C101,'Shultis Faw'!$A$2:$A$26,1)+1)-INDEX('Shultis Faw'!$A$2:$A$26,MATCH($C101,'Shultis Faw'!$A$2:$A$26,1))),$C101*'Shultis Faw'!$C$2/'Shultis Faw'!$A$2)</f>
        <v>0.53052494000000006</v>
      </c>
      <c r="J101" s="83">
        <f>_xlfn.IFNA(INDEX('Shultis Faw'!$D$2:$D$26,MATCH($C101,'Shultis Faw'!$A$2:$A$26,1))+($C101-INDEX('Shultis Faw'!$A$2:$A$26,MATCH($C101,'Shultis Faw'!$A$2:$A$26,1)))*(INDEX('Shultis Faw'!$D$2:$D$26,MATCH($C101,'Shultis Faw'!$A$2:$A$26,1)+1)-INDEX('Shultis Faw'!$D$2:$D$26,MATCH($C101,'Shultis Faw'!$A$2:$A$26,1)))/(INDEX('Shultis Faw'!$A$2:$A$26,MATCH($C101,'Shultis Faw'!$A$2:$A$26,1)+1)-INDEX('Shultis Faw'!$A$2:$A$26,MATCH($C101,'Shultis Faw'!$A$2:$A$26,1))),$C101*'Shultis Faw'!$D$2/'Shultis Faw'!$A$2)</f>
        <v>0.20781137666666666</v>
      </c>
      <c r="K101" s="83">
        <f>_xlfn.IFNA(INDEX('Shultis Faw'!$B$2:$B$26,MATCH($C101,'Shultis Faw'!$A$2:$A$26,1))+($C101-INDEX('Shultis Faw'!$A$2:$A$26,MATCH($C101,'Shultis Faw'!$A$2:$A$26,1)))*(INDEX('Shultis Faw'!$B$2:$B$26,MATCH($C101,'Shultis Faw'!$A$2:$A$26,1)+1)-INDEX('Shultis Faw'!$B$2:$B$26,MATCH($C101,'Shultis Faw'!$A$2:$A$26,1)))/(INDEX('Shultis Faw'!$A$2:$A$26,MATCH($C101,'Shultis Faw'!$A$2:$A$26,1)+1)-INDEX('Shultis Faw'!$A$2:$A$26,MATCH($C101,'Shultis Faw'!$A$2:$A$26,1))),$C101*'Shultis Faw'!$B$2/'Shultis Faw'!$A$2)</f>
        <v>7.7199906666666665E-2</v>
      </c>
      <c r="L101" s="83">
        <f>_xlfn.IFNA(INDEX('Shultis Faw'!$E$2:$E$26,MATCH($C101,'Shultis Faw'!$A$2:$A$26,1))+($C101-INDEX('Shultis Faw'!$A$2:$A$26,MATCH($C101,'Shultis Faw'!$A$2:$A$26,1)))*(INDEX('Shultis Faw'!$E$2:$E$26,MATCH($C101,'Shultis Faw'!$A$2:$A$26,1)+1)-INDEX('Shultis Faw'!$E$2:$E$26,MATCH($C101,'Shultis Faw'!$A$2:$A$26,1)))/(INDEX('Shultis Faw'!$A$2:$A$26,MATCH($C101,'Shultis Faw'!$A$2:$A$26,1)+1)-INDEX('Shultis Faw'!$A$2:$A$26,MATCH($C101,'Shultis Faw'!$A$2:$A$26,1))),$C101*'Shultis Faw'!$E$2/'Shultis Faw'!$A$2)</f>
        <v>-4.0754369333333332E-2</v>
      </c>
      <c r="M101" s="83">
        <f>_xlfn.IFNA(INDEX('Shultis Faw'!$F$2:$F$26,MATCH($C101,'Shultis Faw'!$A$2:$A$26,1))+($C101-INDEX('Shultis Faw'!$A$2:$A$26,MATCH($C101,'Shultis Faw'!$A$2:$A$26,1)))*(INDEX('Shultis Faw'!$F$2:$F$26,MATCH($C101,'Shultis Faw'!$A$2:$A$26,1)+1)-INDEX('Shultis Faw'!$F$2:$F$26,MATCH($C101,'Shultis Faw'!$A$2:$A$26,1)))/(INDEX('Shultis Faw'!$A$2:$A$26,MATCH($C101,'Shultis Faw'!$A$2:$A$26,1)+1)-INDEX('Shultis Faw'!$A$2:$A$26,MATCH($C101,'Shultis Faw'!$A$2:$A$26,1))),$C101*'Shultis Faw'!$F$2/'Shultis Faw'!$A$2)</f>
        <v>6.3869457666666669</v>
      </c>
      <c r="N101" s="83">
        <f>J101*(H101*'Externe blootstelling'!$D$23/2)^K101+L101*(TANH(((H101*'Externe blootstelling'!$D$23)/(2*M101))-2)-TANH(-2))/(1-TANH(-2))</f>
        <v>0.28120702205336939</v>
      </c>
      <c r="O101" s="83">
        <f>IF(N101=1,1+(I101-1)*H101*'Externe blootstelling'!$D$23/2,1+(I101-1)*(N101^(H101*'Externe blootstelling'!$D$23/2)-1)/(N101-1))</f>
        <v>0.34685636281374777</v>
      </c>
      <c r="P101" s="67">
        <f>G101*EXP(-H101*'Externe blootstelling'!$D$23/2)*O101</f>
        <v>1.0521495821955484E-131</v>
      </c>
      <c r="Q101" s="68"/>
    </row>
    <row r="102" spans="1:21" x14ac:dyDescent="0.2">
      <c r="A102" s="217"/>
      <c r="B102" s="64" t="s">
        <v>102</v>
      </c>
      <c r="C102" s="66">
        <v>3.95229E-2</v>
      </c>
      <c r="D102" s="66">
        <f t="shared" si="8"/>
        <v>6.323664E-15</v>
      </c>
      <c r="E102" s="66">
        <v>0.20800000000000002</v>
      </c>
      <c r="F102" s="66">
        <f>_xlfn.IFNA(INDEX('hp (pSv cm2)'!$B$2:$B$52,MATCH($C102,'hp (pSv cm2)'!$A$2:$A$52,1))+($C102-INDEX('hp (pSv cm2)'!$A$2:$A$52,MATCH($C102,'hp (pSv cm2)'!$A$2:$A$52,1)))*(INDEX('hp (pSv cm2)'!$B$2:$B$52,MATCH($C102,'hp (pSv cm2)'!$A$2:$A$52,1)+1)-INDEX('hp (pSv cm2)'!$B$2:$B$52,MATCH($C102,'hp (pSv cm2)'!$A$2:$A$52,1)))/(INDEX('hp (pSv cm2)'!$A$2:$A$52,MATCH($C102,'hp (pSv cm2)'!$A$2:$A$52,1)+1)-INDEX('hp (pSv cm2)'!$A$2:$A$52,MATCH($C102,'hp (pSv cm2)'!$A$2:$A$52,1))),$C102*'hp (pSv cm2)'!$B$2/'hp (pSv cm2)'!$A$2)</f>
        <v>0.34818701999999996</v>
      </c>
      <c r="G102" s="67">
        <f t="shared" si="9"/>
        <v>7.2422900159999998E-2</v>
      </c>
      <c r="H102" s="83">
        <f>_xlfn.IFNA(0.997*(INDEX('Mass attenuation coefficients'!$B$2:$B$37,MATCH($C102,'Mass attenuation coefficients'!$A$2:$A$37,1))+($C102-INDEX('Mass attenuation coefficients'!$A$2:$A$37,MATCH($C102,'Mass attenuation coefficients'!$A$2:$A$37,1)))*(INDEX('Mass attenuation coefficients'!$B$2:$B$37,MATCH($C102,'Mass attenuation coefficients'!$A$2:$A$37,1)+1)-INDEX('Mass attenuation coefficients'!$B$2:$B$37,MATCH($C102,'Mass attenuation coefficients'!$A$2:$A$37,1)))/(INDEX('Mass attenuation coefficients'!$A$2:$A$37,MATCH($C102,'Mass attenuation coefficients'!$A$2:$A$37,1)+1)-INDEX('Mass attenuation coefficients'!$A$2:$A$37,MATCH($C102,'Mass attenuation coefficients'!$A$2:$A$37,1)))),0.997*$C102*'Mass attenuation coefficients'!$B$2/'Mass attenuation coefficients'!$A$2)</f>
        <v>0.27259902515099993</v>
      </c>
      <c r="I102" s="83">
        <f>_xlfn.IFNA(INDEX('Shultis Faw'!$C$2:$C$26,MATCH($C102,'Shultis Faw'!$A$2:$A$26,1))+($C102-INDEX('Shultis Faw'!$A$2:$A$26,MATCH($C102,'Shultis Faw'!$A$2:$A$26,1)))*(INDEX('Shultis Faw'!$C$2:$C$26,MATCH($C102,'Shultis Faw'!$A$2:$A$26,1)+1)-INDEX('Shultis Faw'!$C$2:$C$26,MATCH($C102,'Shultis Faw'!$A$2:$A$26,1)))/(INDEX('Shultis Faw'!$A$2:$A$26,MATCH($C102,'Shultis Faw'!$A$2:$A$26,1)+1)-INDEX('Shultis Faw'!$A$2:$A$26,MATCH($C102,'Shultis Faw'!$A$2:$A$26,1))),$C102*'Shultis Faw'!$C$2/'Shultis Faw'!$A$2)</f>
        <v>3.4225151799999995</v>
      </c>
      <c r="J102" s="83">
        <f>_xlfn.IFNA(INDEX('Shultis Faw'!$D$2:$D$26,MATCH($C102,'Shultis Faw'!$A$2:$A$26,1))+($C102-INDEX('Shultis Faw'!$A$2:$A$26,MATCH($C102,'Shultis Faw'!$A$2:$A$26,1)))*(INDEX('Shultis Faw'!$D$2:$D$26,MATCH($C102,'Shultis Faw'!$A$2:$A$26,1)+1)-INDEX('Shultis Faw'!$D$2:$D$26,MATCH($C102,'Shultis Faw'!$A$2:$A$26,1)))/(INDEX('Shultis Faw'!$A$2:$A$26,MATCH($C102,'Shultis Faw'!$A$2:$A$26,1)+1)-INDEX('Shultis Faw'!$A$2:$A$26,MATCH($C102,'Shultis Faw'!$A$2:$A$26,1))),$C102*'Shultis Faw'!$D$2/'Shultis Faw'!$A$2)</f>
        <v>1.0988224899999999</v>
      </c>
      <c r="K102" s="83">
        <f>_xlfn.IFNA(INDEX('Shultis Faw'!$B$2:$B$26,MATCH($C102,'Shultis Faw'!$A$2:$A$26,1))+($C102-INDEX('Shultis Faw'!$A$2:$A$26,MATCH($C102,'Shultis Faw'!$A$2:$A$26,1)))*(INDEX('Shultis Faw'!$B$2:$B$26,MATCH($C102,'Shultis Faw'!$A$2:$A$26,1)+1)-INDEX('Shultis Faw'!$B$2:$B$26,MATCH($C102,'Shultis Faw'!$A$2:$A$26,1)))/(INDEX('Shultis Faw'!$A$2:$A$26,MATCH($C102,'Shultis Faw'!$A$2:$A$26,1)+1)-INDEX('Shultis Faw'!$A$2:$A$26,MATCH($C102,'Shultis Faw'!$A$2:$A$26,1))),$C102*'Shultis Faw'!$B$2/'Shultis Faw'!$A$2)</f>
        <v>-1.3942740000000009E-2</v>
      </c>
      <c r="L102" s="83">
        <f>_xlfn.IFNA(INDEX('Shultis Faw'!$E$2:$E$26,MATCH($C102,'Shultis Faw'!$A$2:$A$26,1))+($C102-INDEX('Shultis Faw'!$A$2:$A$26,MATCH($C102,'Shultis Faw'!$A$2:$A$26,1)))*(INDEX('Shultis Faw'!$E$2:$E$26,MATCH($C102,'Shultis Faw'!$A$2:$A$26,1)+1)-INDEX('Shultis Faw'!$E$2:$E$26,MATCH($C102,'Shultis Faw'!$A$2:$A$26,1)))/(INDEX('Shultis Faw'!$A$2:$A$26,MATCH($C102,'Shultis Faw'!$A$2:$A$26,1)+1)-INDEX('Shultis Faw'!$A$2:$A$26,MATCH($C102,'Shultis Faw'!$A$2:$A$26,1))),$C102*'Shultis Faw'!$E$2/'Shultis Faw'!$A$2)</f>
        <v>4.7690499999999275E-4</v>
      </c>
      <c r="M102" s="83">
        <f>_xlfn.IFNA(INDEX('Shultis Faw'!$F$2:$F$26,MATCH($C102,'Shultis Faw'!$A$2:$A$26,1))+($C102-INDEX('Shultis Faw'!$A$2:$A$26,MATCH($C102,'Shultis Faw'!$A$2:$A$26,1)))*(INDEX('Shultis Faw'!$F$2:$F$26,MATCH($C102,'Shultis Faw'!$A$2:$A$26,1)+1)-INDEX('Shultis Faw'!$F$2:$F$26,MATCH($C102,'Shultis Faw'!$A$2:$A$26,1)))/(INDEX('Shultis Faw'!$A$2:$A$26,MATCH($C102,'Shultis Faw'!$A$2:$A$26,1)+1)-INDEX('Shultis Faw'!$A$2:$A$26,MATCH($C102,'Shultis Faw'!$A$2:$A$26,1))),$C102*'Shultis Faw'!$F$2/'Shultis Faw'!$A$2)</f>
        <v>11.746813100000001</v>
      </c>
      <c r="N102" s="83">
        <f>J102*(H102*'Externe blootstelling'!$D$23/2)^K102+L102*(TANH(((H102*'Externe blootstelling'!$D$23)/(2*M102))-2)-TANH(-2))/(1-TANH(-2))</f>
        <v>1.0774654665974233</v>
      </c>
      <c r="O102" s="83">
        <f>IF(N102=1,1+(I102-1)*H102*'Externe blootstelling'!$D$23/2,1+(I102-1)*(N102^(H102*'Externe blootstelling'!$D$23/2)-1)/(N102-1))</f>
        <v>12.156065774755827</v>
      </c>
      <c r="P102" s="67">
        <f>G102*EXP(-H102*'Externe blootstelling'!$D$23/2)*O102</f>
        <v>1.4751805153632145E-2</v>
      </c>
      <c r="Q102" s="68"/>
    </row>
    <row r="103" spans="1:21" x14ac:dyDescent="0.2">
      <c r="A103" s="217"/>
      <c r="B103" s="64" t="s">
        <v>102</v>
      </c>
      <c r="C103" s="66">
        <v>4.0118599999999997E-2</v>
      </c>
      <c r="D103" s="66">
        <f t="shared" si="8"/>
        <v>6.4189759999999992E-15</v>
      </c>
      <c r="E103" s="66">
        <v>0.377</v>
      </c>
      <c r="F103" s="66">
        <f>_xlfn.IFNA(INDEX('hp (pSv cm2)'!$B$2:$B$52,MATCH($C103,'hp (pSv cm2)'!$A$2:$A$52,1))+($C103-INDEX('hp (pSv cm2)'!$A$2:$A$52,MATCH($C103,'hp (pSv cm2)'!$A$2:$A$52,1)))*(INDEX('hp (pSv cm2)'!$B$2:$B$52,MATCH($C103,'hp (pSv cm2)'!$A$2:$A$52,1)+1)-INDEX('hp (pSv cm2)'!$B$2:$B$52,MATCH($C103,'hp (pSv cm2)'!$A$2:$A$52,1)))/(INDEX('hp (pSv cm2)'!$A$2:$A$52,MATCH($C103,'hp (pSv cm2)'!$A$2:$A$52,1)+1)-INDEX('hp (pSv cm2)'!$A$2:$A$52,MATCH($C103,'hp (pSv cm2)'!$A$2:$A$52,1))),$C103*'hp (pSv cm2)'!$B$2/'hp (pSv cm2)'!$A$2)</f>
        <v>0.35022534</v>
      </c>
      <c r="G103" s="67">
        <f t="shared" si="9"/>
        <v>0.13203495318</v>
      </c>
      <c r="H103" s="83">
        <f>_xlfn.IFNA(0.997*(INDEX('Mass attenuation coefficients'!$B$2:$B$37,MATCH($C103,'Mass attenuation coefficients'!$A$2:$A$37,1))+($C103-INDEX('Mass attenuation coefficients'!$A$2:$A$37,MATCH($C103,'Mass attenuation coefficients'!$A$2:$A$37,1)))*(INDEX('Mass attenuation coefficients'!$B$2:$B$37,MATCH($C103,'Mass attenuation coefficients'!$A$2:$A$37,1)+1)-INDEX('Mass attenuation coefficients'!$B$2:$B$37,MATCH($C103,'Mass attenuation coefficients'!$A$2:$A$37,1)))/(INDEX('Mass attenuation coefficients'!$A$2:$A$37,MATCH($C103,'Mass attenuation coefficients'!$A$2:$A$37,1)+1)-INDEX('Mass attenuation coefficients'!$A$2:$A$37,MATCH($C103,'Mass attenuation coefficients'!$A$2:$A$37,1)))),0.997*$C103*'Mass attenuation coefficients'!$B$2/'Mass attenuation coefficients'!$A$2)</f>
        <v>0.26700556901200001</v>
      </c>
      <c r="I103" s="83">
        <f>_xlfn.IFNA(INDEX('Shultis Faw'!$C$2:$C$26,MATCH($C103,'Shultis Faw'!$A$2:$A$26,1))+($C103-INDEX('Shultis Faw'!$A$2:$A$26,MATCH($C103,'Shultis Faw'!$A$2:$A$26,1)))*(INDEX('Shultis Faw'!$C$2:$C$26,MATCH($C103,'Shultis Faw'!$A$2:$A$26,1)+1)-INDEX('Shultis Faw'!$C$2:$C$26,MATCH($C103,'Shultis Faw'!$A$2:$A$26,1)))/(INDEX('Shultis Faw'!$A$2:$A$26,MATCH($C103,'Shultis Faw'!$A$2:$A$26,1)+1)-INDEX('Shultis Faw'!$A$2:$A$26,MATCH($C103,'Shultis Faw'!$A$2:$A$26,1))),$C103*'Shultis Faw'!$C$2/'Shultis Faw'!$A$2)</f>
        <v>3.4886702399999994</v>
      </c>
      <c r="J103" s="83">
        <f>_xlfn.IFNA(INDEX('Shultis Faw'!$D$2:$D$26,MATCH($C103,'Shultis Faw'!$A$2:$A$26,1))+($C103-INDEX('Shultis Faw'!$A$2:$A$26,MATCH($C103,'Shultis Faw'!$A$2:$A$26,1)))*(INDEX('Shultis Faw'!$D$2:$D$26,MATCH($C103,'Shultis Faw'!$A$2:$A$26,1)+1)-INDEX('Shultis Faw'!$D$2:$D$26,MATCH($C103,'Shultis Faw'!$A$2:$A$26,1)))/(INDEX('Shultis Faw'!$A$2:$A$26,MATCH($C103,'Shultis Faw'!$A$2:$A$26,1)+1)-INDEX('Shultis Faw'!$A$2:$A$26,MATCH($C103,'Shultis Faw'!$A$2:$A$26,1))),$C103*'Shultis Faw'!$D$2/'Shultis Faw'!$A$2)</f>
        <v>1.1210323999999998</v>
      </c>
      <c r="K103" s="83">
        <f>_xlfn.IFNA(INDEX('Shultis Faw'!$B$2:$B$26,MATCH($C103,'Shultis Faw'!$A$2:$A$26,1))+($C103-INDEX('Shultis Faw'!$A$2:$A$26,MATCH($C103,'Shultis Faw'!$A$2:$A$26,1)))*(INDEX('Shultis Faw'!$B$2:$B$26,MATCH($C103,'Shultis Faw'!$A$2:$A$26,1)+1)-INDEX('Shultis Faw'!$B$2:$B$26,MATCH($C103,'Shultis Faw'!$A$2:$A$26,1)))/(INDEX('Shultis Faw'!$A$2:$A$26,MATCH($C103,'Shultis Faw'!$A$2:$A$26,1)+1)-INDEX('Shultis Faw'!$A$2:$A$26,MATCH($C103,'Shultis Faw'!$A$2:$A$26,1))),$C103*'Shultis Faw'!$B$2/'Shultis Faw'!$A$2)</f>
        <v>-1.9770899999999977E-2</v>
      </c>
      <c r="L103" s="83">
        <f>_xlfn.IFNA(INDEX('Shultis Faw'!$E$2:$E$26,MATCH($C103,'Shultis Faw'!$A$2:$A$26,1))+($C103-INDEX('Shultis Faw'!$A$2:$A$26,MATCH($C103,'Shultis Faw'!$A$2:$A$26,1)))*(INDEX('Shultis Faw'!$E$2:$E$26,MATCH($C103,'Shultis Faw'!$A$2:$A$26,1)+1)-INDEX('Shultis Faw'!$E$2:$E$26,MATCH($C103,'Shultis Faw'!$A$2:$A$26,1)))/(INDEX('Shultis Faw'!$A$2:$A$26,MATCH($C103,'Shultis Faw'!$A$2:$A$26,1)+1)-INDEX('Shultis Faw'!$A$2:$A$26,MATCH($C103,'Shultis Faw'!$A$2:$A$26,1))),$C103*'Shultis Faw'!$E$2/'Shultis Faw'!$A$2)</f>
        <v>2.9735899999999886E-3</v>
      </c>
      <c r="M103" s="83">
        <f>_xlfn.IFNA(INDEX('Shultis Faw'!$F$2:$F$26,MATCH($C103,'Shultis Faw'!$A$2:$A$26,1))+($C103-INDEX('Shultis Faw'!$A$2:$A$26,MATCH($C103,'Shultis Faw'!$A$2:$A$26,1)))*(INDEX('Shultis Faw'!$F$2:$F$26,MATCH($C103,'Shultis Faw'!$A$2:$A$26,1)+1)-INDEX('Shultis Faw'!$F$2:$F$26,MATCH($C103,'Shultis Faw'!$A$2:$A$26,1)))/(INDEX('Shultis Faw'!$A$2:$A$26,MATCH($C103,'Shultis Faw'!$A$2:$A$26,1)+1)-INDEX('Shultis Faw'!$A$2:$A$26,MATCH($C103,'Shultis Faw'!$A$2:$A$26,1))),$C103*'Shultis Faw'!$F$2/'Shultis Faw'!$A$2)</f>
        <v>11.693126999999999</v>
      </c>
      <c r="N103" s="83">
        <f>J103*(H103*'Externe blootstelling'!$D$23/2)^K103+L103*(TANH(((H103*'Externe blootstelling'!$D$23)/(2*M103))-2)-TANH(-2))/(1-TANH(-2))</f>
        <v>1.0907483848658424</v>
      </c>
      <c r="O103" s="83">
        <f>IF(N103=1,1+(I103-1)*H103*'Externe blootstelling'!$D$23/2,1+(I103-1)*(N103^(H103*'Externe blootstelling'!$D$23/2)-1)/(N103-1))</f>
        <v>12.410721791894956</v>
      </c>
      <c r="P103" s="67">
        <f>G103*EXP(-H103*'Externe blootstelling'!$D$23/2)*O103</f>
        <v>2.9860720133495978E-2</v>
      </c>
      <c r="Q103" s="68"/>
    </row>
    <row r="104" spans="1:21" x14ac:dyDescent="0.2">
      <c r="A104" s="217"/>
      <c r="B104" s="64" t="s">
        <v>102</v>
      </c>
      <c r="C104" s="66">
        <v>4.2309300000000001E-2</v>
      </c>
      <c r="D104" s="66">
        <f t="shared" si="8"/>
        <v>6.7694879999999998E-15</v>
      </c>
      <c r="E104" s="66">
        <v>2.4299999999999999E-3</v>
      </c>
      <c r="F104" s="66">
        <f>_xlfn.IFNA(INDEX('hp (pSv cm2)'!$B$2:$B$52,MATCH($C104,'hp (pSv cm2)'!$A$2:$A$52,1))+($C104-INDEX('hp (pSv cm2)'!$A$2:$A$52,MATCH($C104,'hp (pSv cm2)'!$A$2:$A$52,1)))*(INDEX('hp (pSv cm2)'!$B$2:$B$52,MATCH($C104,'hp (pSv cm2)'!$A$2:$A$52,1)+1)-INDEX('hp (pSv cm2)'!$B$2:$B$52,MATCH($C104,'hp (pSv cm2)'!$A$2:$A$52,1)))/(INDEX('hp (pSv cm2)'!$A$2:$A$52,MATCH($C104,'hp (pSv cm2)'!$A$2:$A$52,1)+1)-INDEX('hp (pSv cm2)'!$A$2:$A$52,MATCH($C104,'hp (pSv cm2)'!$A$2:$A$52,1))),$C104*'hp (pSv cm2)'!$B$2/'hp (pSv cm2)'!$A$2)</f>
        <v>0.35438766999999999</v>
      </c>
      <c r="G104" s="67">
        <f t="shared" si="9"/>
        <v>8.6116203809999989E-4</v>
      </c>
      <c r="H104" s="83">
        <f>_xlfn.IFNA(0.997*(INDEX('Mass attenuation coefficients'!$B$2:$B$37,MATCH($C104,'Mass attenuation coefficients'!$A$2:$A$37,1))+($C104-INDEX('Mass attenuation coefficients'!$A$2:$A$37,MATCH($C104,'Mass attenuation coefficients'!$A$2:$A$37,1)))*(INDEX('Mass attenuation coefficients'!$B$2:$B$37,MATCH($C104,'Mass attenuation coefficients'!$A$2:$A$37,1)+1)-INDEX('Mass attenuation coefficients'!$B$2:$B$37,MATCH($C104,'Mass attenuation coefficients'!$A$2:$A$37,1)))/(INDEX('Mass attenuation coefficients'!$A$2:$A$37,MATCH($C104,'Mass attenuation coefficients'!$A$2:$A$37,1)+1)-INDEX('Mass attenuation coefficients'!$A$2:$A$37,MATCH($C104,'Mass attenuation coefficients'!$A$2:$A$37,1)))),0.997*$C104*'Mass attenuation coefficients'!$B$2/'Mass attenuation coefficients'!$A$2)</f>
        <v>0.25796327950600001</v>
      </c>
      <c r="I104" s="83">
        <f>_xlfn.IFNA(INDEX('Shultis Faw'!$C$2:$C$26,MATCH($C104,'Shultis Faw'!$A$2:$A$26,1))+($C104-INDEX('Shultis Faw'!$A$2:$A$26,MATCH($C104,'Shultis Faw'!$A$2:$A$26,1)))*(INDEX('Shultis Faw'!$C$2:$C$26,MATCH($C104,'Shultis Faw'!$A$2:$A$26,1)+1)-INDEX('Shultis Faw'!$C$2:$C$26,MATCH($C104,'Shultis Faw'!$A$2:$A$26,1)))/(INDEX('Shultis Faw'!$A$2:$A$26,MATCH($C104,'Shultis Faw'!$A$2:$A$26,1)+1)-INDEX('Shultis Faw'!$A$2:$A$26,MATCH($C104,'Shultis Faw'!$A$2:$A$26,1))),$C104*'Shultis Faw'!$C$2/'Shultis Faw'!$A$2)</f>
        <v>3.7042351199999999</v>
      </c>
      <c r="J104" s="83">
        <f>_xlfn.IFNA(INDEX('Shultis Faw'!$D$2:$D$26,MATCH($C104,'Shultis Faw'!$A$2:$A$26,1))+($C104-INDEX('Shultis Faw'!$A$2:$A$26,MATCH($C104,'Shultis Faw'!$A$2:$A$26,1)))*(INDEX('Shultis Faw'!$D$2:$D$26,MATCH($C104,'Shultis Faw'!$A$2:$A$26,1)+1)-INDEX('Shultis Faw'!$D$2:$D$26,MATCH($C104,'Shultis Faw'!$A$2:$A$26,1)))/(INDEX('Shultis Faw'!$A$2:$A$26,MATCH($C104,'Shultis Faw'!$A$2:$A$26,1)+1)-INDEX('Shultis Faw'!$A$2:$A$26,MATCH($C104,'Shultis Faw'!$A$2:$A$26,1))),$C104*'Shultis Faw'!$D$2/'Shultis Faw'!$A$2)</f>
        <v>1.1955161999999999</v>
      </c>
      <c r="K104" s="83">
        <f>_xlfn.IFNA(INDEX('Shultis Faw'!$B$2:$B$26,MATCH($C104,'Shultis Faw'!$A$2:$A$26,1))+($C104-INDEX('Shultis Faw'!$A$2:$A$26,MATCH($C104,'Shultis Faw'!$A$2:$A$26,1)))*(INDEX('Shultis Faw'!$B$2:$B$26,MATCH($C104,'Shultis Faw'!$A$2:$A$26,1)+1)-INDEX('Shultis Faw'!$B$2:$B$26,MATCH($C104,'Shultis Faw'!$A$2:$A$26,1)))/(INDEX('Shultis Faw'!$A$2:$A$26,MATCH($C104,'Shultis Faw'!$A$2:$A$26,1)+1)-INDEX('Shultis Faw'!$A$2:$A$26,MATCH($C104,'Shultis Faw'!$A$2:$A$26,1))),$C104*'Shultis Faw'!$B$2/'Shultis Faw'!$A$2)</f>
        <v>-3.4010449999999998E-2</v>
      </c>
      <c r="L104" s="83">
        <f>_xlfn.IFNA(INDEX('Shultis Faw'!$E$2:$E$26,MATCH($C104,'Shultis Faw'!$A$2:$A$26,1))+($C104-INDEX('Shultis Faw'!$A$2:$A$26,MATCH($C104,'Shultis Faw'!$A$2:$A$26,1)))*(INDEX('Shultis Faw'!$E$2:$E$26,MATCH($C104,'Shultis Faw'!$A$2:$A$26,1)+1)-INDEX('Shultis Faw'!$E$2:$E$26,MATCH($C104,'Shultis Faw'!$A$2:$A$26,1)))/(INDEX('Shultis Faw'!$A$2:$A$26,MATCH($C104,'Shultis Faw'!$A$2:$A$26,1)+1)-INDEX('Shultis Faw'!$A$2:$A$26,MATCH($C104,'Shultis Faw'!$A$2:$A$26,1))),$C104*'Shultis Faw'!$E$2/'Shultis Faw'!$A$2)</f>
        <v>9.8742949999999999E-3</v>
      </c>
      <c r="M104" s="83">
        <f>_xlfn.IFNA(INDEX('Shultis Faw'!$F$2:$F$26,MATCH($C104,'Shultis Faw'!$A$2:$A$26,1))+($C104-INDEX('Shultis Faw'!$A$2:$A$26,MATCH($C104,'Shultis Faw'!$A$2:$A$26,1)))*(INDEX('Shultis Faw'!$F$2:$F$26,MATCH($C104,'Shultis Faw'!$A$2:$A$26,1)+1)-INDEX('Shultis Faw'!$F$2:$F$26,MATCH($C104,'Shultis Faw'!$A$2:$A$26,1)))/(INDEX('Shultis Faw'!$A$2:$A$26,MATCH($C104,'Shultis Faw'!$A$2:$A$26,1)+1)-INDEX('Shultis Faw'!$A$2:$A$26,MATCH($C104,'Shultis Faw'!$A$2:$A$26,1))),$C104*'Shultis Faw'!$F$2/'Shultis Faw'!$A$2)</f>
        <v>12.1203135</v>
      </c>
      <c r="N104" s="83">
        <f>J104*(H104*'Externe blootstelling'!$D$23/2)^K104+L104*(TANH(((H104*'Externe blootstelling'!$D$23)/(2*M104))-2)-TANH(-2))/(1-TANH(-2))</f>
        <v>1.1419015577600384</v>
      </c>
      <c r="O104" s="83">
        <f>IF(N104=1,1+(I104-1)*H104*'Externe blootstelling'!$D$23/2,1+(I104-1)*(N104^(H104*'Externe blootstelling'!$D$23/2)-1)/(N104-1))</f>
        <v>13.788409058223271</v>
      </c>
      <c r="P104" s="67">
        <f>G104*EXP(-H104*'Externe blootstelling'!$D$23/2)*O104</f>
        <v>2.4780987215451867E-4</v>
      </c>
      <c r="Q104" s="68"/>
    </row>
    <row r="105" spans="1:21" x14ac:dyDescent="0.2">
      <c r="A105" s="217"/>
      <c r="B105" s="64" t="s">
        <v>102</v>
      </c>
      <c r="C105" s="66">
        <v>4.2996699999999999E-2</v>
      </c>
      <c r="D105" s="66">
        <f t="shared" si="8"/>
        <v>6.8794719999999994E-15</v>
      </c>
      <c r="E105" s="66">
        <v>4.3699999999999998E-3</v>
      </c>
      <c r="F105" s="66">
        <f>_xlfn.IFNA(INDEX('hp (pSv cm2)'!$B$2:$B$52,MATCH($C105,'hp (pSv cm2)'!$A$2:$A$52,1))+($C105-INDEX('hp (pSv cm2)'!$A$2:$A$52,MATCH($C105,'hp (pSv cm2)'!$A$2:$A$52,1)))*(INDEX('hp (pSv cm2)'!$B$2:$B$52,MATCH($C105,'hp (pSv cm2)'!$A$2:$A$52,1)+1)-INDEX('hp (pSv cm2)'!$B$2:$B$52,MATCH($C105,'hp (pSv cm2)'!$A$2:$A$52,1)))/(INDEX('hp (pSv cm2)'!$A$2:$A$52,MATCH($C105,'hp (pSv cm2)'!$A$2:$A$52,1)+1)-INDEX('hp (pSv cm2)'!$A$2:$A$52,MATCH($C105,'hp (pSv cm2)'!$A$2:$A$52,1))),$C105*'hp (pSv cm2)'!$B$2/'hp (pSv cm2)'!$A$2)</f>
        <v>0.35569372999999999</v>
      </c>
      <c r="G105" s="67">
        <f t="shared" si="9"/>
        <v>1.5543816000999999E-3</v>
      </c>
      <c r="H105" s="83">
        <f>_xlfn.IFNA(0.997*(INDEX('Mass attenuation coefficients'!$B$2:$B$37,MATCH($C105,'Mass attenuation coefficients'!$A$2:$A$37,1))+($C105-INDEX('Mass attenuation coefficients'!$A$2:$A$37,MATCH($C105,'Mass attenuation coefficients'!$A$2:$A$37,1)))*(INDEX('Mass attenuation coefficients'!$B$2:$B$37,MATCH($C105,'Mass attenuation coefficients'!$A$2:$A$37,1)+1)-INDEX('Mass attenuation coefficients'!$B$2:$B$37,MATCH($C105,'Mass attenuation coefficients'!$A$2:$A$37,1)))/(INDEX('Mass attenuation coefficients'!$A$2:$A$37,MATCH($C105,'Mass attenuation coefficients'!$A$2:$A$37,1)+1)-INDEX('Mass attenuation coefficients'!$A$2:$A$37,MATCH($C105,'Mass attenuation coefficients'!$A$2:$A$37,1)))),0.997*$C105*'Mass attenuation coefficients'!$B$2/'Mass attenuation coefficients'!$A$2)</f>
        <v>0.25512598101400003</v>
      </c>
      <c r="I105" s="83">
        <f>_xlfn.IFNA(INDEX('Shultis Faw'!$C$2:$C$26,MATCH($C105,'Shultis Faw'!$A$2:$A$26,1))+($C105-INDEX('Shultis Faw'!$A$2:$A$26,MATCH($C105,'Shultis Faw'!$A$2:$A$26,1)))*(INDEX('Shultis Faw'!$C$2:$C$26,MATCH($C105,'Shultis Faw'!$A$2:$A$26,1)+1)-INDEX('Shultis Faw'!$C$2:$C$26,MATCH($C105,'Shultis Faw'!$A$2:$A$26,1)))/(INDEX('Shultis Faw'!$A$2:$A$26,MATCH($C105,'Shultis Faw'!$A$2:$A$26,1)+1)-INDEX('Shultis Faw'!$A$2:$A$26,MATCH($C105,'Shultis Faw'!$A$2:$A$26,1))),$C105*'Shultis Faw'!$C$2/'Shultis Faw'!$A$2)</f>
        <v>3.7718752799999997</v>
      </c>
      <c r="J105" s="83">
        <f>_xlfn.IFNA(INDEX('Shultis Faw'!$D$2:$D$26,MATCH($C105,'Shultis Faw'!$A$2:$A$26,1))+($C105-INDEX('Shultis Faw'!$A$2:$A$26,MATCH($C105,'Shultis Faw'!$A$2:$A$26,1)))*(INDEX('Shultis Faw'!$D$2:$D$26,MATCH($C105,'Shultis Faw'!$A$2:$A$26,1)+1)-INDEX('Shultis Faw'!$D$2:$D$26,MATCH($C105,'Shultis Faw'!$A$2:$A$26,1)))/(INDEX('Shultis Faw'!$A$2:$A$26,MATCH($C105,'Shultis Faw'!$A$2:$A$26,1)+1)-INDEX('Shultis Faw'!$A$2:$A$26,MATCH($C105,'Shultis Faw'!$A$2:$A$26,1))),$C105*'Shultis Faw'!$D$2/'Shultis Faw'!$A$2)</f>
        <v>1.2188877999999999</v>
      </c>
      <c r="K105" s="83">
        <f>_xlfn.IFNA(INDEX('Shultis Faw'!$B$2:$B$26,MATCH($C105,'Shultis Faw'!$A$2:$A$26,1))+($C105-INDEX('Shultis Faw'!$A$2:$A$26,MATCH($C105,'Shultis Faw'!$A$2:$A$26,1)))*(INDEX('Shultis Faw'!$B$2:$B$26,MATCH($C105,'Shultis Faw'!$A$2:$A$26,1)+1)-INDEX('Shultis Faw'!$B$2:$B$26,MATCH($C105,'Shultis Faw'!$A$2:$A$26,1)))/(INDEX('Shultis Faw'!$A$2:$A$26,MATCH($C105,'Shultis Faw'!$A$2:$A$26,1)+1)-INDEX('Shultis Faw'!$A$2:$A$26,MATCH($C105,'Shultis Faw'!$A$2:$A$26,1))),$C105*'Shultis Faw'!$B$2/'Shultis Faw'!$A$2)</f>
        <v>-3.8478549999999986E-2</v>
      </c>
      <c r="L105" s="83">
        <f>_xlfn.IFNA(INDEX('Shultis Faw'!$E$2:$E$26,MATCH($C105,'Shultis Faw'!$A$2:$A$26,1))+($C105-INDEX('Shultis Faw'!$A$2:$A$26,MATCH($C105,'Shultis Faw'!$A$2:$A$26,1)))*(INDEX('Shultis Faw'!$E$2:$E$26,MATCH($C105,'Shultis Faw'!$A$2:$A$26,1)+1)-INDEX('Shultis Faw'!$E$2:$E$26,MATCH($C105,'Shultis Faw'!$A$2:$A$26,1)))/(INDEX('Shultis Faw'!$A$2:$A$26,MATCH($C105,'Shultis Faw'!$A$2:$A$26,1)+1)-INDEX('Shultis Faw'!$A$2:$A$26,MATCH($C105,'Shultis Faw'!$A$2:$A$26,1))),$C105*'Shultis Faw'!$E$2/'Shultis Faw'!$A$2)</f>
        <v>1.2039604999999991E-2</v>
      </c>
      <c r="M105" s="83">
        <f>_xlfn.IFNA(INDEX('Shultis Faw'!$F$2:$F$26,MATCH($C105,'Shultis Faw'!$A$2:$A$26,1))+($C105-INDEX('Shultis Faw'!$A$2:$A$26,MATCH($C105,'Shultis Faw'!$A$2:$A$26,1)))*(INDEX('Shultis Faw'!$F$2:$F$26,MATCH($C105,'Shultis Faw'!$A$2:$A$26,1)+1)-INDEX('Shultis Faw'!$F$2:$F$26,MATCH($C105,'Shultis Faw'!$A$2:$A$26,1)))/(INDEX('Shultis Faw'!$A$2:$A$26,MATCH($C105,'Shultis Faw'!$A$2:$A$26,1)+1)-INDEX('Shultis Faw'!$A$2:$A$26,MATCH($C105,'Shultis Faw'!$A$2:$A$26,1))),$C105*'Shultis Faw'!$F$2/'Shultis Faw'!$A$2)</f>
        <v>12.2543565</v>
      </c>
      <c r="N105" s="83">
        <f>J105*(H105*'Externe blootstelling'!$D$23/2)^K105+L105*(TANH(((H105*'Externe blootstelling'!$D$23)/(2*M105))-2)-TANH(-2))/(1-TANH(-2))</f>
        <v>1.1577267067068724</v>
      </c>
      <c r="O105" s="83">
        <f>IF(N105=1,1+(I105-1)*H105*'Externe blootstelling'!$D$23/2,1+(I105-1)*(N105^(H105*'Externe blootstelling'!$D$23/2)-1)/(N105-1))</f>
        <v>14.207022019963924</v>
      </c>
      <c r="P105" s="67">
        <f>G105*EXP(-H105*'Externe blootstelling'!$D$23/2)*O105</f>
        <v>4.8090978546495036E-4</v>
      </c>
      <c r="Q105" s="68"/>
    </row>
    <row r="106" spans="1:21" x14ac:dyDescent="0.2">
      <c r="A106" s="217"/>
      <c r="B106" s="64" t="s">
        <v>102</v>
      </c>
      <c r="C106" s="66">
        <v>4.5477699999999996E-2</v>
      </c>
      <c r="D106" s="66">
        <f t="shared" si="8"/>
        <v>7.2764319999999986E-15</v>
      </c>
      <c r="E106" s="66">
        <v>0.11779999999999999</v>
      </c>
      <c r="F106" s="66">
        <f>_xlfn.IFNA(INDEX('hp (pSv cm2)'!$B$2:$B$52,MATCH($C106,'hp (pSv cm2)'!$A$2:$A$52,1))+($C106-INDEX('hp (pSv cm2)'!$A$2:$A$52,MATCH($C106,'hp (pSv cm2)'!$A$2:$A$52,1)))*(INDEX('hp (pSv cm2)'!$B$2:$B$52,MATCH($C106,'hp (pSv cm2)'!$A$2:$A$52,1)+1)-INDEX('hp (pSv cm2)'!$B$2:$B$52,MATCH($C106,'hp (pSv cm2)'!$A$2:$A$52,1)))/(INDEX('hp (pSv cm2)'!$A$2:$A$52,MATCH($C106,'hp (pSv cm2)'!$A$2:$A$52,1)+1)-INDEX('hp (pSv cm2)'!$A$2:$A$52,MATCH($C106,'hp (pSv cm2)'!$A$2:$A$52,1))),$C106*'hp (pSv cm2)'!$B$2/'hp (pSv cm2)'!$A$2)</f>
        <v>0.36040762999999998</v>
      </c>
      <c r="G106" s="67">
        <f t="shared" si="9"/>
        <v>4.2456018813999991E-2</v>
      </c>
      <c r="H106" s="83">
        <f>_xlfn.IFNA(0.997*(INDEX('Mass attenuation coefficients'!$B$2:$B$37,MATCH($C106,'Mass attenuation coefficients'!$A$2:$A$37,1))+($C106-INDEX('Mass attenuation coefficients'!$A$2:$A$37,MATCH($C106,'Mass attenuation coefficients'!$A$2:$A$37,1)))*(INDEX('Mass attenuation coefficients'!$B$2:$B$37,MATCH($C106,'Mass attenuation coefficients'!$A$2:$A$37,1)+1)-INDEX('Mass attenuation coefficients'!$B$2:$B$37,MATCH($C106,'Mass attenuation coefficients'!$A$2:$A$37,1)))/(INDEX('Mass attenuation coefficients'!$A$2:$A$37,MATCH($C106,'Mass attenuation coefficients'!$A$2:$A$37,1)+1)-INDEX('Mass attenuation coefficients'!$A$2:$A$37,MATCH($C106,'Mass attenuation coefficients'!$A$2:$A$37,1)))),0.997*$C106*'Mass attenuation coefficients'!$B$2/'Mass attenuation coefficients'!$A$2)</f>
        <v>0.244885455034</v>
      </c>
      <c r="I106" s="83">
        <f>_xlfn.IFNA(INDEX('Shultis Faw'!$C$2:$C$26,MATCH($C106,'Shultis Faw'!$A$2:$A$26,1))+($C106-INDEX('Shultis Faw'!$A$2:$A$26,MATCH($C106,'Shultis Faw'!$A$2:$A$26,1)))*(INDEX('Shultis Faw'!$C$2:$C$26,MATCH($C106,'Shultis Faw'!$A$2:$A$26,1)+1)-INDEX('Shultis Faw'!$C$2:$C$26,MATCH($C106,'Shultis Faw'!$A$2:$A$26,1)))/(INDEX('Shultis Faw'!$A$2:$A$26,MATCH($C106,'Shultis Faw'!$A$2:$A$26,1)+1)-INDEX('Shultis Faw'!$A$2:$A$26,MATCH($C106,'Shultis Faw'!$A$2:$A$26,1))),$C106*'Shultis Faw'!$C$2/'Shultis Faw'!$A$2)</f>
        <v>4.0160056799999992</v>
      </c>
      <c r="J106" s="83">
        <f>_xlfn.IFNA(INDEX('Shultis Faw'!$D$2:$D$26,MATCH($C106,'Shultis Faw'!$A$2:$A$26,1))+($C106-INDEX('Shultis Faw'!$A$2:$A$26,MATCH($C106,'Shultis Faw'!$A$2:$A$26,1)))*(INDEX('Shultis Faw'!$D$2:$D$26,MATCH($C106,'Shultis Faw'!$A$2:$A$26,1)+1)-INDEX('Shultis Faw'!$D$2:$D$26,MATCH($C106,'Shultis Faw'!$A$2:$A$26,1)))/(INDEX('Shultis Faw'!$A$2:$A$26,MATCH($C106,'Shultis Faw'!$A$2:$A$26,1)+1)-INDEX('Shultis Faw'!$A$2:$A$26,MATCH($C106,'Shultis Faw'!$A$2:$A$26,1))),$C106*'Shultis Faw'!$D$2/'Shultis Faw'!$A$2)</f>
        <v>1.3032417999999999</v>
      </c>
      <c r="K106" s="83">
        <f>_xlfn.IFNA(INDEX('Shultis Faw'!$B$2:$B$26,MATCH($C106,'Shultis Faw'!$A$2:$A$26,1))+($C106-INDEX('Shultis Faw'!$A$2:$A$26,MATCH($C106,'Shultis Faw'!$A$2:$A$26,1)))*(INDEX('Shultis Faw'!$B$2:$B$26,MATCH($C106,'Shultis Faw'!$A$2:$A$26,1)+1)-INDEX('Shultis Faw'!$B$2:$B$26,MATCH($C106,'Shultis Faw'!$A$2:$A$26,1)))/(INDEX('Shultis Faw'!$A$2:$A$26,MATCH($C106,'Shultis Faw'!$A$2:$A$26,1)+1)-INDEX('Shultis Faw'!$A$2:$A$26,MATCH($C106,'Shultis Faw'!$A$2:$A$26,1))),$C106*'Shultis Faw'!$B$2/'Shultis Faw'!$A$2)</f>
        <v>-5.4605049999999961E-2</v>
      </c>
      <c r="L106" s="83">
        <f>_xlfn.IFNA(INDEX('Shultis Faw'!$E$2:$E$26,MATCH($C106,'Shultis Faw'!$A$2:$A$26,1))+($C106-INDEX('Shultis Faw'!$A$2:$A$26,MATCH($C106,'Shultis Faw'!$A$2:$A$26,1)))*(INDEX('Shultis Faw'!$E$2:$E$26,MATCH($C106,'Shultis Faw'!$A$2:$A$26,1)+1)-INDEX('Shultis Faw'!$E$2:$E$26,MATCH($C106,'Shultis Faw'!$A$2:$A$26,1)))/(INDEX('Shultis Faw'!$A$2:$A$26,MATCH($C106,'Shultis Faw'!$A$2:$A$26,1)+1)-INDEX('Shultis Faw'!$A$2:$A$26,MATCH($C106,'Shultis Faw'!$A$2:$A$26,1))),$C106*'Shultis Faw'!$E$2/'Shultis Faw'!$A$2)</f>
        <v>1.9854754999999981E-2</v>
      </c>
      <c r="M106" s="83">
        <f>_xlfn.IFNA(INDEX('Shultis Faw'!$F$2:$F$26,MATCH($C106,'Shultis Faw'!$A$2:$A$26,1))+($C106-INDEX('Shultis Faw'!$A$2:$A$26,MATCH($C106,'Shultis Faw'!$A$2:$A$26,1)))*(INDEX('Shultis Faw'!$F$2:$F$26,MATCH($C106,'Shultis Faw'!$A$2:$A$26,1)+1)-INDEX('Shultis Faw'!$F$2:$F$26,MATCH($C106,'Shultis Faw'!$A$2:$A$26,1)))/(INDEX('Shultis Faw'!$A$2:$A$26,MATCH($C106,'Shultis Faw'!$A$2:$A$26,1)+1)-INDEX('Shultis Faw'!$A$2:$A$26,MATCH($C106,'Shultis Faw'!$A$2:$A$26,1))),$C106*'Shultis Faw'!$F$2/'Shultis Faw'!$A$2)</f>
        <v>12.738151499999999</v>
      </c>
      <c r="N106" s="83">
        <f>J106*(H106*'Externe blootstelling'!$D$23/2)^K106+L106*(TANH(((H106*'Externe blootstelling'!$D$23)/(2*M106))-2)-TANH(-2))/(1-TANH(-2))</f>
        <v>1.2141391999680742</v>
      </c>
      <c r="O106" s="83">
        <f>IF(N106=1,1+(I106-1)*H106*'Externe blootstelling'!$D$23/2,1+(I106-1)*(N106^(H106*'Externe blootstelling'!$D$23/2)-1)/(N106-1))</f>
        <v>15.641855699267806</v>
      </c>
      <c r="P106" s="67">
        <f>G106*EXP(-H106*'Externe blootstelling'!$D$23/2)*O106</f>
        <v>1.6863259176109976E-2</v>
      </c>
      <c r="Q106" s="68"/>
    </row>
    <row r="107" spans="1:21" x14ac:dyDescent="0.2">
      <c r="A107" s="217"/>
      <c r="B107" s="64" t="s">
        <v>102</v>
      </c>
      <c r="C107" s="66">
        <v>4.6697699999999995E-2</v>
      </c>
      <c r="D107" s="66">
        <f t="shared" si="8"/>
        <v>7.4716319999999983E-15</v>
      </c>
      <c r="E107" s="66">
        <v>3.04E-2</v>
      </c>
      <c r="F107" s="66">
        <f>_xlfn.IFNA(INDEX('hp (pSv cm2)'!$B$2:$B$52,MATCH($C107,'hp (pSv cm2)'!$A$2:$A$52,1))+($C107-INDEX('hp (pSv cm2)'!$A$2:$A$52,MATCH($C107,'hp (pSv cm2)'!$A$2:$A$52,1)))*(INDEX('hp (pSv cm2)'!$B$2:$B$52,MATCH($C107,'hp (pSv cm2)'!$A$2:$A$52,1)+1)-INDEX('hp (pSv cm2)'!$B$2:$B$52,MATCH($C107,'hp (pSv cm2)'!$A$2:$A$52,1)))/(INDEX('hp (pSv cm2)'!$A$2:$A$52,MATCH($C107,'hp (pSv cm2)'!$A$2:$A$52,1)+1)-INDEX('hp (pSv cm2)'!$A$2:$A$52,MATCH($C107,'hp (pSv cm2)'!$A$2:$A$52,1))),$C107*'hp (pSv cm2)'!$B$2/'hp (pSv cm2)'!$A$2)</f>
        <v>0.36272562999999997</v>
      </c>
      <c r="G107" s="67">
        <f t="shared" si="9"/>
        <v>1.1026859151999999E-2</v>
      </c>
      <c r="H107" s="83">
        <f>_xlfn.IFNA(0.997*(INDEX('Mass attenuation coefficients'!$B$2:$B$37,MATCH($C107,'Mass attenuation coefficients'!$A$2:$A$37,1))+($C107-INDEX('Mass attenuation coefficients'!$A$2:$A$37,MATCH($C107,'Mass attenuation coefficients'!$A$2:$A$37,1)))*(INDEX('Mass attenuation coefficients'!$B$2:$B$37,MATCH($C107,'Mass attenuation coefficients'!$A$2:$A$37,1)+1)-INDEX('Mass attenuation coefficients'!$B$2:$B$37,MATCH($C107,'Mass attenuation coefficients'!$A$2:$A$37,1)))/(INDEX('Mass attenuation coefficients'!$A$2:$A$37,MATCH($C107,'Mass attenuation coefficients'!$A$2:$A$37,1)+1)-INDEX('Mass attenuation coefficients'!$A$2:$A$37,MATCH($C107,'Mass attenuation coefficients'!$A$2:$A$37,1)))),0.997*$C107*'Mass attenuation coefficients'!$B$2/'Mass attenuation coefficients'!$A$2)</f>
        <v>0.239849807434</v>
      </c>
      <c r="I107" s="83">
        <f>_xlfn.IFNA(INDEX('Shultis Faw'!$C$2:$C$26,MATCH($C107,'Shultis Faw'!$A$2:$A$26,1))+($C107-INDEX('Shultis Faw'!$A$2:$A$26,MATCH($C107,'Shultis Faw'!$A$2:$A$26,1)))*(INDEX('Shultis Faw'!$C$2:$C$26,MATCH($C107,'Shultis Faw'!$A$2:$A$26,1)+1)-INDEX('Shultis Faw'!$C$2:$C$26,MATCH($C107,'Shultis Faw'!$A$2:$A$26,1)))/(INDEX('Shultis Faw'!$A$2:$A$26,MATCH($C107,'Shultis Faw'!$A$2:$A$26,1)+1)-INDEX('Shultis Faw'!$A$2:$A$26,MATCH($C107,'Shultis Faw'!$A$2:$A$26,1))),$C107*'Shultis Faw'!$C$2/'Shultis Faw'!$A$2)</f>
        <v>4.1360536799999998</v>
      </c>
      <c r="J107" s="83">
        <f>_xlfn.IFNA(INDEX('Shultis Faw'!$D$2:$D$26,MATCH($C107,'Shultis Faw'!$A$2:$A$26,1))+($C107-INDEX('Shultis Faw'!$A$2:$A$26,MATCH($C107,'Shultis Faw'!$A$2:$A$26,1)))*(INDEX('Shultis Faw'!$D$2:$D$26,MATCH($C107,'Shultis Faw'!$A$2:$A$26,1)+1)-INDEX('Shultis Faw'!$D$2:$D$26,MATCH($C107,'Shultis Faw'!$A$2:$A$26,1)))/(INDEX('Shultis Faw'!$A$2:$A$26,MATCH($C107,'Shultis Faw'!$A$2:$A$26,1)+1)-INDEX('Shultis Faw'!$A$2:$A$26,MATCH($C107,'Shultis Faw'!$A$2:$A$26,1))),$C107*'Shultis Faw'!$D$2/'Shultis Faw'!$A$2)</f>
        <v>1.3447217999999999</v>
      </c>
      <c r="K107" s="83">
        <f>_xlfn.IFNA(INDEX('Shultis Faw'!$B$2:$B$26,MATCH($C107,'Shultis Faw'!$A$2:$A$26,1))+($C107-INDEX('Shultis Faw'!$A$2:$A$26,MATCH($C107,'Shultis Faw'!$A$2:$A$26,1)))*(INDEX('Shultis Faw'!$B$2:$B$26,MATCH($C107,'Shultis Faw'!$A$2:$A$26,1)+1)-INDEX('Shultis Faw'!$B$2:$B$26,MATCH($C107,'Shultis Faw'!$A$2:$A$26,1)))/(INDEX('Shultis Faw'!$A$2:$A$26,MATCH($C107,'Shultis Faw'!$A$2:$A$26,1)+1)-INDEX('Shultis Faw'!$A$2:$A$26,MATCH($C107,'Shultis Faw'!$A$2:$A$26,1))),$C107*'Shultis Faw'!$B$2/'Shultis Faw'!$A$2)</f>
        <v>-6.2535049999999953E-2</v>
      </c>
      <c r="L107" s="83">
        <f>_xlfn.IFNA(INDEX('Shultis Faw'!$E$2:$E$26,MATCH($C107,'Shultis Faw'!$A$2:$A$26,1))+($C107-INDEX('Shultis Faw'!$A$2:$A$26,MATCH($C107,'Shultis Faw'!$A$2:$A$26,1)))*(INDEX('Shultis Faw'!$E$2:$E$26,MATCH($C107,'Shultis Faw'!$A$2:$A$26,1)+1)-INDEX('Shultis Faw'!$E$2:$E$26,MATCH($C107,'Shultis Faw'!$A$2:$A$26,1)))/(INDEX('Shultis Faw'!$A$2:$A$26,MATCH($C107,'Shultis Faw'!$A$2:$A$26,1)+1)-INDEX('Shultis Faw'!$A$2:$A$26,MATCH($C107,'Shultis Faw'!$A$2:$A$26,1))),$C107*'Shultis Faw'!$E$2/'Shultis Faw'!$A$2)</f>
        <v>2.3697754999999973E-2</v>
      </c>
      <c r="M107" s="83">
        <f>_xlfn.IFNA(INDEX('Shultis Faw'!$F$2:$F$26,MATCH($C107,'Shultis Faw'!$A$2:$A$26,1))+($C107-INDEX('Shultis Faw'!$A$2:$A$26,MATCH($C107,'Shultis Faw'!$A$2:$A$26,1)))*(INDEX('Shultis Faw'!$F$2:$F$26,MATCH($C107,'Shultis Faw'!$A$2:$A$26,1)+1)-INDEX('Shultis Faw'!$F$2:$F$26,MATCH($C107,'Shultis Faw'!$A$2:$A$26,1)))/(INDEX('Shultis Faw'!$A$2:$A$26,MATCH($C107,'Shultis Faw'!$A$2:$A$26,1)+1)-INDEX('Shultis Faw'!$A$2:$A$26,MATCH($C107,'Shultis Faw'!$A$2:$A$26,1))),$C107*'Shultis Faw'!$F$2/'Shultis Faw'!$A$2)</f>
        <v>12.976051499999997</v>
      </c>
      <c r="N107" s="83">
        <f>J107*(H107*'Externe blootstelling'!$D$23/2)^K107+L107*(TANH(((H107*'Externe blootstelling'!$D$23)/(2*M107))-2)-TANH(-2))/(1-TANH(-2))</f>
        <v>1.2415668178380312</v>
      </c>
      <c r="O107" s="83">
        <f>IF(N107=1,1+(I107-1)*H107*'Externe blootstelling'!$D$23/2,1+(I107-1)*(N107^(H107*'Externe blootstelling'!$D$23/2)-1)/(N107-1))</f>
        <v>16.294440644800737</v>
      </c>
      <c r="P107" s="67">
        <f>G107*EXP(-H107*'Externe blootstelling'!$D$23/2)*O107</f>
        <v>4.92050373818953E-3</v>
      </c>
      <c r="Q107" s="68"/>
    </row>
    <row r="108" spans="1:21" x14ac:dyDescent="0.2">
      <c r="A108" s="217"/>
      <c r="B108" s="64" t="s">
        <v>102</v>
      </c>
      <c r="C108" s="66">
        <v>4.8768700000000005E-2</v>
      </c>
      <c r="D108" s="66">
        <f t="shared" si="8"/>
        <v>7.8029919999999998E-15</v>
      </c>
      <c r="E108" s="66">
        <v>1.3800000000000002E-3</v>
      </c>
      <c r="F108" s="66">
        <f>_xlfn.IFNA(INDEX('hp (pSv cm2)'!$B$2:$B$52,MATCH($C108,'hp (pSv cm2)'!$A$2:$A$52,1))+($C108-INDEX('hp (pSv cm2)'!$A$2:$A$52,MATCH($C108,'hp (pSv cm2)'!$A$2:$A$52,1)))*(INDEX('hp (pSv cm2)'!$B$2:$B$52,MATCH($C108,'hp (pSv cm2)'!$A$2:$A$52,1)+1)-INDEX('hp (pSv cm2)'!$B$2:$B$52,MATCH($C108,'hp (pSv cm2)'!$A$2:$A$52,1)))/(INDEX('hp (pSv cm2)'!$A$2:$A$52,MATCH($C108,'hp (pSv cm2)'!$A$2:$A$52,1)+1)-INDEX('hp (pSv cm2)'!$A$2:$A$52,MATCH($C108,'hp (pSv cm2)'!$A$2:$A$52,1))),$C108*'hp (pSv cm2)'!$B$2/'hp (pSv cm2)'!$A$2)</f>
        <v>0.36666052999999998</v>
      </c>
      <c r="G108" s="67">
        <f t="shared" si="9"/>
        <v>5.0599153140000008E-4</v>
      </c>
      <c r="H108" s="83">
        <f>_xlfn.IFNA(0.997*(INDEX('Mass attenuation coefficients'!$B$2:$B$37,MATCH($C108,'Mass attenuation coefficients'!$A$2:$A$37,1))+($C108-INDEX('Mass attenuation coefficients'!$A$2:$A$37,MATCH($C108,'Mass attenuation coefficients'!$A$2:$A$37,1)))*(INDEX('Mass attenuation coefficients'!$B$2:$B$37,MATCH($C108,'Mass attenuation coefficients'!$A$2:$A$37,1)+1)-INDEX('Mass attenuation coefficients'!$B$2:$B$37,MATCH($C108,'Mass attenuation coefficients'!$A$2:$A$37,1)))/(INDEX('Mass attenuation coefficients'!$A$2:$A$37,MATCH($C108,'Mass attenuation coefficients'!$A$2:$A$37,1)+1)-INDEX('Mass attenuation coefficients'!$A$2:$A$37,MATCH($C108,'Mass attenuation coefficients'!$A$2:$A$37,1)))),0.997*$C108*'Mass attenuation coefficients'!$B$2/'Mass attenuation coefficients'!$A$2)</f>
        <v>0.23130158925399999</v>
      </c>
      <c r="I108" s="83">
        <f>_xlfn.IFNA(INDEX('Shultis Faw'!$C$2:$C$26,MATCH($C108,'Shultis Faw'!$A$2:$A$26,1))+($C108-INDEX('Shultis Faw'!$A$2:$A$26,MATCH($C108,'Shultis Faw'!$A$2:$A$26,1)))*(INDEX('Shultis Faw'!$C$2:$C$26,MATCH($C108,'Shultis Faw'!$A$2:$A$26,1)+1)-INDEX('Shultis Faw'!$C$2:$C$26,MATCH($C108,'Shultis Faw'!$A$2:$A$26,1)))/(INDEX('Shultis Faw'!$A$2:$A$26,MATCH($C108,'Shultis Faw'!$A$2:$A$26,1)+1)-INDEX('Shultis Faw'!$A$2:$A$26,MATCH($C108,'Shultis Faw'!$A$2:$A$26,1))),$C108*'Shultis Faw'!$C$2/'Shultis Faw'!$A$2)</f>
        <v>4.3398400800000001</v>
      </c>
      <c r="J108" s="83">
        <f>_xlfn.IFNA(INDEX('Shultis Faw'!$D$2:$D$26,MATCH($C108,'Shultis Faw'!$A$2:$A$26,1))+($C108-INDEX('Shultis Faw'!$A$2:$A$26,MATCH($C108,'Shultis Faw'!$A$2:$A$26,1)))*(INDEX('Shultis Faw'!$D$2:$D$26,MATCH($C108,'Shultis Faw'!$A$2:$A$26,1)+1)-INDEX('Shultis Faw'!$D$2:$D$26,MATCH($C108,'Shultis Faw'!$A$2:$A$26,1)))/(INDEX('Shultis Faw'!$A$2:$A$26,MATCH($C108,'Shultis Faw'!$A$2:$A$26,1)+1)-INDEX('Shultis Faw'!$A$2:$A$26,MATCH($C108,'Shultis Faw'!$A$2:$A$26,1))),$C108*'Shultis Faw'!$D$2/'Shultis Faw'!$A$2)</f>
        <v>1.4151358000000003</v>
      </c>
      <c r="K108" s="83">
        <f>_xlfn.IFNA(INDEX('Shultis Faw'!$B$2:$B$26,MATCH($C108,'Shultis Faw'!$A$2:$A$26,1))+($C108-INDEX('Shultis Faw'!$A$2:$A$26,MATCH($C108,'Shultis Faw'!$A$2:$A$26,1)))*(INDEX('Shultis Faw'!$B$2:$B$26,MATCH($C108,'Shultis Faw'!$A$2:$A$26,1)+1)-INDEX('Shultis Faw'!$B$2:$B$26,MATCH($C108,'Shultis Faw'!$A$2:$A$26,1)))/(INDEX('Shultis Faw'!$A$2:$A$26,MATCH($C108,'Shultis Faw'!$A$2:$A$26,1)+1)-INDEX('Shultis Faw'!$A$2:$A$26,MATCH($C108,'Shultis Faw'!$A$2:$A$26,1))),$C108*'Shultis Faw'!$B$2/'Shultis Faw'!$A$2)</f>
        <v>-7.599655000000001E-2</v>
      </c>
      <c r="L108" s="83">
        <f>_xlfn.IFNA(INDEX('Shultis Faw'!$E$2:$E$26,MATCH($C108,'Shultis Faw'!$A$2:$A$26,1))+($C108-INDEX('Shultis Faw'!$A$2:$A$26,MATCH($C108,'Shultis Faw'!$A$2:$A$26,1)))*(INDEX('Shultis Faw'!$E$2:$E$26,MATCH($C108,'Shultis Faw'!$A$2:$A$26,1)+1)-INDEX('Shultis Faw'!$E$2:$E$26,MATCH($C108,'Shultis Faw'!$A$2:$A$26,1)))/(INDEX('Shultis Faw'!$A$2:$A$26,MATCH($C108,'Shultis Faw'!$A$2:$A$26,1)+1)-INDEX('Shultis Faw'!$A$2:$A$26,MATCH($C108,'Shultis Faw'!$A$2:$A$26,1))),$C108*'Shultis Faw'!$E$2/'Shultis Faw'!$A$2)</f>
        <v>3.0221405000000007E-2</v>
      </c>
      <c r="M108" s="83">
        <f>_xlfn.IFNA(INDEX('Shultis Faw'!$F$2:$F$26,MATCH($C108,'Shultis Faw'!$A$2:$A$26,1))+($C108-INDEX('Shultis Faw'!$A$2:$A$26,MATCH($C108,'Shultis Faw'!$A$2:$A$26,1)))*(INDEX('Shultis Faw'!$F$2:$F$26,MATCH($C108,'Shultis Faw'!$A$2:$A$26,1)+1)-INDEX('Shultis Faw'!$F$2:$F$26,MATCH($C108,'Shultis Faw'!$A$2:$A$26,1)))/(INDEX('Shultis Faw'!$A$2:$A$26,MATCH($C108,'Shultis Faw'!$A$2:$A$26,1)+1)-INDEX('Shultis Faw'!$A$2:$A$26,MATCH($C108,'Shultis Faw'!$A$2:$A$26,1))),$C108*'Shultis Faw'!$F$2/'Shultis Faw'!$A$2)</f>
        <v>13.379896499999999</v>
      </c>
      <c r="N108" s="83">
        <f>J108*(H108*'Externe blootstelling'!$D$23/2)^K108+L108*(TANH(((H108*'Externe blootstelling'!$D$23)/(2*M108))-2)-TANH(-2))/(1-TANH(-2))</f>
        <v>1.2878419791330469</v>
      </c>
      <c r="O108" s="83">
        <f>IF(N108=1,1+(I108-1)*H108*'Externe blootstelling'!$D$23/2,1+(I108-1)*(N108^(H108*'Externe blootstelling'!$D$23/2)-1)/(N108-1))</f>
        <v>17.30584429929776</v>
      </c>
      <c r="P108" s="67">
        <f>G108*EXP(-H108*'Externe blootstelling'!$D$23/2)*O108</f>
        <v>2.7260949753176616E-4</v>
      </c>
      <c r="Q108" s="68"/>
    </row>
    <row r="109" spans="1:21" x14ac:dyDescent="0.2">
      <c r="A109" s="217"/>
      <c r="B109" s="64" t="s">
        <v>102</v>
      </c>
      <c r="C109" s="66">
        <v>5.0093000000000006E-2</v>
      </c>
      <c r="D109" s="66">
        <f t="shared" si="8"/>
        <v>8.0148800000000006E-15</v>
      </c>
      <c r="E109" s="66">
        <v>3.6299999999999999E-4</v>
      </c>
      <c r="F109" s="66">
        <f>_xlfn.IFNA(INDEX('hp (pSv cm2)'!$B$2:$B$52,MATCH($C109,'hp (pSv cm2)'!$A$2:$A$52,1))+($C109-INDEX('hp (pSv cm2)'!$A$2:$A$52,MATCH($C109,'hp (pSv cm2)'!$A$2:$A$52,1)))*(INDEX('hp (pSv cm2)'!$B$2:$B$52,MATCH($C109,'hp (pSv cm2)'!$A$2:$A$52,1)+1)-INDEX('hp (pSv cm2)'!$B$2:$B$52,MATCH($C109,'hp (pSv cm2)'!$A$2:$A$52,1)))/(INDEX('hp (pSv cm2)'!$A$2:$A$52,MATCH($C109,'hp (pSv cm2)'!$A$2:$A$52,1)+1)-INDEX('hp (pSv cm2)'!$A$2:$A$52,MATCH($C109,'hp (pSv cm2)'!$A$2:$A$52,1))),$C109*'hp (pSv cm2)'!$B$2/'hp (pSv cm2)'!$A$2)</f>
        <v>0.36918600000000001</v>
      </c>
      <c r="G109" s="67">
        <f t="shared" si="9"/>
        <v>1.34014518E-4</v>
      </c>
      <c r="H109" s="83">
        <f>_xlfn.IFNA(0.997*(INDEX('Mass attenuation coefficients'!$B$2:$B$37,MATCH($C109,'Mass attenuation coefficients'!$A$2:$A$37,1))+($C109-INDEX('Mass attenuation coefficients'!$A$2:$A$37,MATCH($C109,'Mass attenuation coefficients'!$A$2:$A$37,1)))*(INDEX('Mass attenuation coefficients'!$B$2:$B$37,MATCH($C109,'Mass attenuation coefficients'!$A$2:$A$37,1)+1)-INDEX('Mass attenuation coefficients'!$B$2:$B$37,MATCH($C109,'Mass attenuation coefficients'!$A$2:$A$37,1)))/(INDEX('Mass attenuation coefficients'!$A$2:$A$37,MATCH($C109,'Mass attenuation coefficients'!$A$2:$A$37,1)+1)-INDEX('Mass attenuation coefficients'!$A$2:$A$37,MATCH($C109,'Mass attenuation coefficients'!$A$2:$A$37,1)))),0.997*$C109*'Mass attenuation coefficients'!$B$2/'Mass attenuation coefficients'!$A$2)</f>
        <v>0.22602458589999999</v>
      </c>
      <c r="I109" s="83">
        <f>_xlfn.IFNA(INDEX('Shultis Faw'!$C$2:$C$26,MATCH($C109,'Shultis Faw'!$A$2:$A$26,1))+($C109-INDEX('Shultis Faw'!$A$2:$A$26,MATCH($C109,'Shultis Faw'!$A$2:$A$26,1)))*(INDEX('Shultis Faw'!$C$2:$C$26,MATCH($C109,'Shultis Faw'!$A$2:$A$26,1)+1)-INDEX('Shultis Faw'!$C$2:$C$26,MATCH($C109,'Shultis Faw'!$A$2:$A$26,1)))/(INDEX('Shultis Faw'!$A$2:$A$26,MATCH($C109,'Shultis Faw'!$A$2:$A$26,1)+1)-INDEX('Shultis Faw'!$A$2:$A$26,MATCH($C109,'Shultis Faw'!$A$2:$A$26,1))),$C109*'Shultis Faw'!$C$2/'Shultis Faw'!$A$2)</f>
        <v>4.4658546000000001</v>
      </c>
      <c r="J109" s="83">
        <f>_xlfn.IFNA(INDEX('Shultis Faw'!$D$2:$D$26,MATCH($C109,'Shultis Faw'!$A$2:$A$26,1))+($C109-INDEX('Shultis Faw'!$A$2:$A$26,MATCH($C109,'Shultis Faw'!$A$2:$A$26,1)))*(INDEX('Shultis Faw'!$D$2:$D$26,MATCH($C109,'Shultis Faw'!$A$2:$A$26,1)+1)-INDEX('Shultis Faw'!$D$2:$D$26,MATCH($C109,'Shultis Faw'!$A$2:$A$26,1)))/(INDEX('Shultis Faw'!$A$2:$A$26,MATCH($C109,'Shultis Faw'!$A$2:$A$26,1)+1)-INDEX('Shultis Faw'!$A$2:$A$26,MATCH($C109,'Shultis Faw'!$A$2:$A$26,1))),$C109*'Shultis Faw'!$D$2/'Shultis Faw'!$A$2)</f>
        <v>1.4595389000000001</v>
      </c>
      <c r="K109" s="83">
        <f>_xlfn.IFNA(INDEX('Shultis Faw'!$B$2:$B$26,MATCH($C109,'Shultis Faw'!$A$2:$A$26,1))+($C109-INDEX('Shultis Faw'!$A$2:$A$26,MATCH($C109,'Shultis Faw'!$A$2:$A$26,1)))*(INDEX('Shultis Faw'!$B$2:$B$26,MATCH($C109,'Shultis Faw'!$A$2:$A$26,1)+1)-INDEX('Shultis Faw'!$B$2:$B$26,MATCH($C109,'Shultis Faw'!$A$2:$A$26,1)))/(INDEX('Shultis Faw'!$A$2:$A$26,MATCH($C109,'Shultis Faw'!$A$2:$A$26,1)+1)-INDEX('Shultis Faw'!$A$2:$A$26,MATCH($C109,'Shultis Faw'!$A$2:$A$26,1))),$C109*'Shultis Faw'!$B$2/'Shultis Faw'!$A$2)</f>
        <v>-8.4390600000000024E-2</v>
      </c>
      <c r="L109" s="83">
        <f>_xlfn.IFNA(INDEX('Shultis Faw'!$E$2:$E$26,MATCH($C109,'Shultis Faw'!$A$2:$A$26,1))+($C109-INDEX('Shultis Faw'!$A$2:$A$26,MATCH($C109,'Shultis Faw'!$A$2:$A$26,1)))*(INDEX('Shultis Faw'!$E$2:$E$26,MATCH($C109,'Shultis Faw'!$A$2:$A$26,1)+1)-INDEX('Shultis Faw'!$E$2:$E$26,MATCH($C109,'Shultis Faw'!$A$2:$A$26,1)))/(INDEX('Shultis Faw'!$A$2:$A$26,MATCH($C109,'Shultis Faw'!$A$2:$A$26,1)+1)-INDEX('Shultis Faw'!$A$2:$A$26,MATCH($C109,'Shultis Faw'!$A$2:$A$26,1))),$C109*'Shultis Faw'!$E$2/'Shultis Faw'!$A$2)</f>
        <v>3.4304600000000005E-2</v>
      </c>
      <c r="M109" s="83">
        <f>_xlfn.IFNA(INDEX('Shultis Faw'!$F$2:$F$26,MATCH($C109,'Shultis Faw'!$A$2:$A$26,1))+($C109-INDEX('Shultis Faw'!$A$2:$A$26,MATCH($C109,'Shultis Faw'!$A$2:$A$26,1)))*(INDEX('Shultis Faw'!$F$2:$F$26,MATCH($C109,'Shultis Faw'!$A$2:$A$26,1)+1)-INDEX('Shultis Faw'!$F$2:$F$26,MATCH($C109,'Shultis Faw'!$A$2:$A$26,1)))/(INDEX('Shultis Faw'!$A$2:$A$26,MATCH($C109,'Shultis Faw'!$A$2:$A$26,1)+1)-INDEX('Shultis Faw'!$A$2:$A$26,MATCH($C109,'Shultis Faw'!$A$2:$A$26,1))),$C109*'Shultis Faw'!$F$2/'Shultis Faw'!$A$2)</f>
        <v>13.620185999999999</v>
      </c>
      <c r="N109" s="83">
        <f>J109*(H109*'Externe blootstelling'!$D$23/2)^K109+L109*(TANH(((H109*'Externe blootstelling'!$D$23)/(2*M109))-2)-TANH(-2))/(1-TANH(-2))</f>
        <v>1.3170358509551454</v>
      </c>
      <c r="O109" s="83">
        <f>IF(N109=1,1+(I109-1)*H109*'Externe blootstelling'!$D$23/2,1+(I109-1)*(N109^(H109*'Externe blootstelling'!$D$23/2)-1)/(N109-1))</f>
        <v>17.876720269906688</v>
      </c>
      <c r="P109" s="67">
        <f>G109*EXP(-H109*'Externe blootstelling'!$D$23/2)*O109</f>
        <v>8.0727450448340549E-5</v>
      </c>
      <c r="Q109" s="68"/>
    </row>
    <row r="110" spans="1:21" x14ac:dyDescent="0.2">
      <c r="A110" s="217"/>
      <c r="B110" s="64" t="s">
        <v>104</v>
      </c>
      <c r="C110" s="66">
        <v>0.12178170000000001</v>
      </c>
      <c r="D110" s="66">
        <f t="shared" si="8"/>
        <v>1.9485072000000001E-14</v>
      </c>
      <c r="E110" s="66">
        <v>0.28410000000000002</v>
      </c>
      <c r="F110" s="66">
        <f>_xlfn.IFNA(INDEX('hp (pSv cm2)'!$B$2:$B$52,MATCH($C110,'hp (pSv cm2)'!$A$2:$A$52,1))+($C110-INDEX('hp (pSv cm2)'!$A$2:$A$52,MATCH($C110,'hp (pSv cm2)'!$A$2:$A$52,1)))*(INDEX('hp (pSv cm2)'!$B$2:$B$52,MATCH($C110,'hp (pSv cm2)'!$A$2:$A$52,1)+1)-INDEX('hp (pSv cm2)'!$B$2:$B$52,MATCH($C110,'hp (pSv cm2)'!$A$2:$A$52,1)))/(INDEX('hp (pSv cm2)'!$A$2:$A$52,MATCH($C110,'hp (pSv cm2)'!$A$2:$A$52,1)+1)-INDEX('hp (pSv cm2)'!$A$2:$A$52,MATCH($C110,'hp (pSv cm2)'!$A$2:$A$52,1))),$C110*'hp (pSv cm2)'!$B$2/'hp (pSv cm2)'!$A$2)</f>
        <v>0.61776018600000004</v>
      </c>
      <c r="G110" s="67">
        <f t="shared" si="9"/>
        <v>0.17550566884260002</v>
      </c>
      <c r="H110" s="83">
        <f>_xlfn.IFNA(0.997*(INDEX('Mass attenuation coefficients'!$B$2:$B$37,MATCH($C110,'Mass attenuation coefficients'!$A$2:$A$37,1))+($C110-INDEX('Mass attenuation coefficients'!$A$2:$A$37,MATCH($C110,'Mass attenuation coefficients'!$A$2:$A$37,1)))*(INDEX('Mass attenuation coefficients'!$B$2:$B$37,MATCH($C110,'Mass attenuation coefficients'!$A$2:$A$37,1)+1)-INDEX('Mass attenuation coefficients'!$B$2:$B$37,MATCH($C110,'Mass attenuation coefficients'!$A$2:$A$37,1)))/(INDEX('Mass attenuation coefficients'!$A$2:$A$37,MATCH($C110,'Mass attenuation coefficients'!$A$2:$A$37,1)+1)-INDEX('Mass attenuation coefficients'!$A$2:$A$37,MATCH($C110,'Mass attenuation coefficients'!$A$2:$A$37,1)))),0.997*$C110*'Mass attenuation coefficients'!$B$2/'Mass attenuation coefficients'!$A$2)</f>
        <v>0.16141449262039997</v>
      </c>
      <c r="I110" s="83">
        <f>_xlfn.IFNA(INDEX('Shultis Faw'!$C$2:$C$26,MATCH($C110,'Shultis Faw'!$A$2:$A$26,1))+($C110-INDEX('Shultis Faw'!$A$2:$A$26,MATCH($C110,'Shultis Faw'!$A$2:$A$26,1)))*(INDEX('Shultis Faw'!$C$2:$C$26,MATCH($C110,'Shultis Faw'!$A$2:$A$26,1)+1)-INDEX('Shultis Faw'!$C$2:$C$26,MATCH($C110,'Shultis Faw'!$A$2:$A$26,1)))/(INDEX('Shultis Faw'!$A$2:$A$26,MATCH($C110,'Shultis Faw'!$A$2:$A$26,1)+1)-INDEX('Shultis Faw'!$A$2:$A$26,MATCH($C110,'Shultis Faw'!$A$2:$A$26,1))),$C110*'Shultis Faw'!$C$2/'Shultis Faw'!$A$2)</f>
        <v>4.3293043559999997</v>
      </c>
      <c r="J110" s="83">
        <f>_xlfn.IFNA(INDEX('Shultis Faw'!$D$2:$D$26,MATCH($C110,'Shultis Faw'!$A$2:$A$26,1))+($C110-INDEX('Shultis Faw'!$A$2:$A$26,MATCH($C110,'Shultis Faw'!$A$2:$A$26,1)))*(INDEX('Shultis Faw'!$D$2:$D$26,MATCH($C110,'Shultis Faw'!$A$2:$A$26,1)+1)-INDEX('Shultis Faw'!$D$2:$D$26,MATCH($C110,'Shultis Faw'!$A$2:$A$26,1)))/(INDEX('Shultis Faw'!$A$2:$A$26,MATCH($C110,'Shultis Faw'!$A$2:$A$26,1)+1)-INDEX('Shultis Faw'!$A$2:$A$26,MATCH($C110,'Shultis Faw'!$A$2:$A$26,1))),$C110*'Shultis Faw'!$D$2/'Shultis Faw'!$A$2)</f>
        <v>2.230148314</v>
      </c>
      <c r="K110" s="83">
        <f>_xlfn.IFNA(INDEX('Shultis Faw'!$B$2:$B$26,MATCH($C110,'Shultis Faw'!$A$2:$A$26,1))+($C110-INDEX('Shultis Faw'!$A$2:$A$26,MATCH($C110,'Shultis Faw'!$A$2:$A$26,1)))*(INDEX('Shultis Faw'!$B$2:$B$26,MATCH($C110,'Shultis Faw'!$A$2:$A$26,1)+1)-INDEX('Shultis Faw'!$B$2:$B$26,MATCH($C110,'Shultis Faw'!$A$2:$A$26,1)))/(INDEX('Shultis Faw'!$A$2:$A$26,MATCH($C110,'Shultis Faw'!$A$2:$A$26,1)+1)-INDEX('Shultis Faw'!$A$2:$A$26,MATCH($C110,'Shultis Faw'!$A$2:$A$26,1))),$C110*'Shultis Faw'!$B$2/'Shultis Faw'!$A$2)</f>
        <v>-0.18556436600000001</v>
      </c>
      <c r="L110" s="83">
        <f>_xlfn.IFNA(INDEX('Shultis Faw'!$E$2:$E$26,MATCH($C110,'Shultis Faw'!$A$2:$A$26,1))+($C110-INDEX('Shultis Faw'!$A$2:$A$26,MATCH($C110,'Shultis Faw'!$A$2:$A$26,1)))*(INDEX('Shultis Faw'!$E$2:$E$26,MATCH($C110,'Shultis Faw'!$A$2:$A$26,1)+1)-INDEX('Shultis Faw'!$E$2:$E$26,MATCH($C110,'Shultis Faw'!$A$2:$A$26,1)))/(INDEX('Shultis Faw'!$A$2:$A$26,MATCH($C110,'Shultis Faw'!$A$2:$A$26,1)+1)-INDEX('Shultis Faw'!$A$2:$A$26,MATCH($C110,'Shultis Faw'!$A$2:$A$26,1))),$C110*'Shultis Faw'!$E$2/'Shultis Faw'!$A$2)</f>
        <v>8.0465393400000002E-2</v>
      </c>
      <c r="M110" s="83">
        <f>_xlfn.IFNA(INDEX('Shultis Faw'!$F$2:$F$26,MATCH($C110,'Shultis Faw'!$A$2:$A$26,1))+($C110-INDEX('Shultis Faw'!$A$2:$A$26,MATCH($C110,'Shultis Faw'!$A$2:$A$26,1)))*(INDEX('Shultis Faw'!$F$2:$F$26,MATCH($C110,'Shultis Faw'!$A$2:$A$26,1)+1)-INDEX('Shultis Faw'!$F$2:$F$26,MATCH($C110,'Shultis Faw'!$A$2:$A$26,1)))/(INDEX('Shultis Faw'!$A$2:$A$26,MATCH($C110,'Shultis Faw'!$A$2:$A$26,1)+1)-INDEX('Shultis Faw'!$A$2:$A$26,MATCH($C110,'Shultis Faw'!$A$2:$A$26,1))),$C110*'Shultis Faw'!$F$2/'Shultis Faw'!$A$2)</f>
        <v>13.70464524</v>
      </c>
      <c r="N110" s="83">
        <f>J110*(H110*'Externe blootstelling'!$D$23/2)^K110+L110*(TANH(((H110*'Externe blootstelling'!$D$23)/(2*M110))-2)-TANH(-2))/(1-TANH(-2))</f>
        <v>1.8932607067507699</v>
      </c>
      <c r="O110" s="83">
        <f>IF(N110=1,1+(I110-1)*H110*'Externe blootstelling'!$D$23/2,1+(I110-1)*(N110^(H110*'Externe blootstelling'!$D$23/2)-1)/(N110-1))</f>
        <v>14.753690226162437</v>
      </c>
      <c r="P110" s="67">
        <f>G110*EXP(-H110*'Externe blootstelling'!$D$23/2)*O110</f>
        <v>0.22996961476880318</v>
      </c>
      <c r="Q110" s="68"/>
    </row>
    <row r="111" spans="1:21" x14ac:dyDescent="0.2">
      <c r="A111" s="217"/>
      <c r="B111" s="64" t="s">
        <v>104</v>
      </c>
      <c r="C111" s="66">
        <v>0.12569</v>
      </c>
      <c r="D111" s="66">
        <f t="shared" si="8"/>
        <v>2.01104E-14</v>
      </c>
      <c r="E111" s="66">
        <v>1.8999999999999998E-4</v>
      </c>
      <c r="F111" s="66">
        <f>_xlfn.IFNA(INDEX('hp (pSv cm2)'!$B$2:$B$52,MATCH($C111,'hp (pSv cm2)'!$A$2:$A$52,1))+($C111-INDEX('hp (pSv cm2)'!$A$2:$A$52,MATCH($C111,'hp (pSv cm2)'!$A$2:$A$52,1)))*(INDEX('hp (pSv cm2)'!$B$2:$B$52,MATCH($C111,'hp (pSv cm2)'!$A$2:$A$52,1)+1)-INDEX('hp (pSv cm2)'!$B$2:$B$52,MATCH($C111,'hp (pSv cm2)'!$A$2:$A$52,1)))/(INDEX('hp (pSv cm2)'!$A$2:$A$52,MATCH($C111,'hp (pSv cm2)'!$A$2:$A$52,1)+1)-INDEX('hp (pSv cm2)'!$A$2:$A$52,MATCH($C111,'hp (pSv cm2)'!$A$2:$A$52,1))),$C111*'hp (pSv cm2)'!$B$2/'hp (pSv cm2)'!$A$2)</f>
        <v>0.63566020000000001</v>
      </c>
      <c r="G111" s="67">
        <f t="shared" si="9"/>
        <v>1.2077543799999999E-4</v>
      </c>
      <c r="H111" s="83">
        <f>_xlfn.IFNA(0.997*(INDEX('Mass attenuation coefficients'!$B$2:$B$37,MATCH($C111,'Mass attenuation coefficients'!$A$2:$A$37,1))+($C111-INDEX('Mass attenuation coefficients'!$A$2:$A$37,MATCH($C111,'Mass attenuation coefficients'!$A$2:$A$37,1)))*(INDEX('Mass attenuation coefficients'!$B$2:$B$37,MATCH($C111,'Mass attenuation coefficients'!$A$2:$A$37,1)+1)-INDEX('Mass attenuation coefficients'!$B$2:$B$37,MATCH($C111,'Mass attenuation coefficients'!$A$2:$A$37,1)))/(INDEX('Mass attenuation coefficients'!$A$2:$A$37,MATCH($C111,'Mass attenuation coefficients'!$A$2:$A$37,1)+1)-INDEX('Mass attenuation coefficients'!$A$2:$A$37,MATCH($C111,'Mass attenuation coefficients'!$A$2:$A$37,1)))),0.997*$C111*'Mass attenuation coefficients'!$B$2/'Mass attenuation coefficients'!$A$2)</f>
        <v>0.15984027628</v>
      </c>
      <c r="I111" s="83">
        <f>_xlfn.IFNA(INDEX('Shultis Faw'!$C$2:$C$26,MATCH($C111,'Shultis Faw'!$A$2:$A$26,1))+($C111-INDEX('Shultis Faw'!$A$2:$A$26,MATCH($C111,'Shultis Faw'!$A$2:$A$26,1)))*(INDEX('Shultis Faw'!$C$2:$C$26,MATCH($C111,'Shultis Faw'!$A$2:$A$26,1)+1)-INDEX('Shultis Faw'!$C$2:$C$26,MATCH($C111,'Shultis Faw'!$A$2:$A$26,1)))/(INDEX('Shultis Faw'!$A$2:$A$26,MATCH($C111,'Shultis Faw'!$A$2:$A$26,1)+1)-INDEX('Shultis Faw'!$A$2:$A$26,MATCH($C111,'Shultis Faw'!$A$2:$A$26,1))),$C111*'Shultis Faw'!$C$2/'Shultis Faw'!$A$2)</f>
        <v>4.2694292000000003</v>
      </c>
      <c r="J111" s="83">
        <f>_xlfn.IFNA(INDEX('Shultis Faw'!$D$2:$D$26,MATCH($C111,'Shultis Faw'!$A$2:$A$26,1))+($C111-INDEX('Shultis Faw'!$A$2:$A$26,MATCH($C111,'Shultis Faw'!$A$2:$A$26,1)))*(INDEX('Shultis Faw'!$D$2:$D$26,MATCH($C111,'Shultis Faw'!$A$2:$A$26,1)+1)-INDEX('Shultis Faw'!$D$2:$D$26,MATCH($C111,'Shultis Faw'!$A$2:$A$26,1)))/(INDEX('Shultis Faw'!$A$2:$A$26,MATCH($C111,'Shultis Faw'!$A$2:$A$26,1)+1)-INDEX('Shultis Faw'!$A$2:$A$26,MATCH($C111,'Shultis Faw'!$A$2:$A$26,1))),$C111*'Shultis Faw'!$D$2/'Shultis Faw'!$A$2)</f>
        <v>2.2317898</v>
      </c>
      <c r="K111" s="83">
        <f>_xlfn.IFNA(INDEX('Shultis Faw'!$B$2:$B$26,MATCH($C111,'Shultis Faw'!$A$2:$A$26,1))+($C111-INDEX('Shultis Faw'!$A$2:$A$26,MATCH($C111,'Shultis Faw'!$A$2:$A$26,1)))*(INDEX('Shultis Faw'!$B$2:$B$26,MATCH($C111,'Shultis Faw'!$A$2:$A$26,1)+1)-INDEX('Shultis Faw'!$B$2:$B$26,MATCH($C111,'Shultis Faw'!$A$2:$A$26,1)))/(INDEX('Shultis Faw'!$A$2:$A$26,MATCH($C111,'Shultis Faw'!$A$2:$A$26,1)+1)-INDEX('Shultis Faw'!$A$2:$A$26,MATCH($C111,'Shultis Faw'!$A$2:$A$26,1))),$C111*'Shultis Faw'!$B$2/'Shultis Faw'!$A$2)</f>
        <v>-0.18548619999999999</v>
      </c>
      <c r="L111" s="83">
        <f>_xlfn.IFNA(INDEX('Shultis Faw'!$E$2:$E$26,MATCH($C111,'Shultis Faw'!$A$2:$A$26,1))+($C111-INDEX('Shultis Faw'!$A$2:$A$26,MATCH($C111,'Shultis Faw'!$A$2:$A$26,1)))*(INDEX('Shultis Faw'!$E$2:$E$26,MATCH($C111,'Shultis Faw'!$A$2:$A$26,1)+1)-INDEX('Shultis Faw'!$E$2:$E$26,MATCH($C111,'Shultis Faw'!$A$2:$A$26,1)))/(INDEX('Shultis Faw'!$A$2:$A$26,MATCH($C111,'Shultis Faw'!$A$2:$A$26,1)+1)-INDEX('Shultis Faw'!$A$2:$A$26,MATCH($C111,'Shultis Faw'!$A$2:$A$26,1))),$C111*'Shultis Faw'!$E$2/'Shultis Faw'!$A$2)</f>
        <v>8.0082380000000009E-2</v>
      </c>
      <c r="M111" s="83">
        <f>_xlfn.IFNA(INDEX('Shultis Faw'!$F$2:$F$26,MATCH($C111,'Shultis Faw'!$A$2:$A$26,1))+($C111-INDEX('Shultis Faw'!$A$2:$A$26,MATCH($C111,'Shultis Faw'!$A$2:$A$26,1)))*(INDEX('Shultis Faw'!$F$2:$F$26,MATCH($C111,'Shultis Faw'!$A$2:$A$26,1)+1)-INDEX('Shultis Faw'!$F$2:$F$26,MATCH($C111,'Shultis Faw'!$A$2:$A$26,1)))/(INDEX('Shultis Faw'!$A$2:$A$26,MATCH($C111,'Shultis Faw'!$A$2:$A$26,1)+1)-INDEX('Shultis Faw'!$A$2:$A$26,MATCH($C111,'Shultis Faw'!$A$2:$A$26,1))),$C111*'Shultis Faw'!$F$2/'Shultis Faw'!$A$2)</f>
        <v>13.771868</v>
      </c>
      <c r="N111" s="83">
        <f>J111*(H111*'Externe blootstelling'!$D$23/2)^K111+L111*(TANH(((H111*'Externe blootstelling'!$D$23)/(2*M111))-2)-TANH(-2))/(1-TANH(-2))</f>
        <v>1.8982178929907911</v>
      </c>
      <c r="O111" s="83">
        <f>IF(N111=1,1+(I111-1)*H111*'Externe blootstelling'!$D$23/2,1+(I111-1)*(N111^(H111*'Externe blootstelling'!$D$23/2)-1)/(N111-1))</f>
        <v>14.282179861757919</v>
      </c>
      <c r="P111" s="67">
        <f>G111*EXP(-H111*'Externe blootstelling'!$D$23/2)*O111</f>
        <v>1.5685807089624705E-4</v>
      </c>
      <c r="Q111" s="68"/>
    </row>
    <row r="112" spans="1:21" x14ac:dyDescent="0.2">
      <c r="A112" s="217"/>
      <c r="B112" s="64" t="s">
        <v>104</v>
      </c>
      <c r="C112" s="66">
        <v>0.14801</v>
      </c>
      <c r="D112" s="66">
        <f t="shared" si="8"/>
        <v>2.3681599999999999E-14</v>
      </c>
      <c r="E112" s="66">
        <v>3.5000000000000005E-4</v>
      </c>
      <c r="F112" s="66">
        <f>_xlfn.IFNA(INDEX('hp (pSv cm2)'!$B$2:$B$52,MATCH($C112,'hp (pSv cm2)'!$A$2:$A$52,1))+($C112-INDEX('hp (pSv cm2)'!$A$2:$A$52,MATCH($C112,'hp (pSv cm2)'!$A$2:$A$52,1)))*(INDEX('hp (pSv cm2)'!$B$2:$B$52,MATCH($C112,'hp (pSv cm2)'!$A$2:$A$52,1)+1)-INDEX('hp (pSv cm2)'!$B$2:$B$52,MATCH($C112,'hp (pSv cm2)'!$A$2:$A$52,1)))/(INDEX('hp (pSv cm2)'!$A$2:$A$52,MATCH($C112,'hp (pSv cm2)'!$A$2:$A$52,1)+1)-INDEX('hp (pSv cm2)'!$A$2:$A$52,MATCH($C112,'hp (pSv cm2)'!$A$2:$A$52,1))),$C112*'hp (pSv cm2)'!$B$2/'hp (pSv cm2)'!$A$2)</f>
        <v>0.73788580000000004</v>
      </c>
      <c r="G112" s="67">
        <f t="shared" si="9"/>
        <v>2.5826003000000005E-4</v>
      </c>
      <c r="H112" s="83">
        <f>_xlfn.IFNA(0.997*(INDEX('Mass attenuation coefficients'!$B$2:$B$37,MATCH($C112,'Mass attenuation coefficients'!$A$2:$A$37,1))+($C112-INDEX('Mass attenuation coefficients'!$A$2:$A$37,MATCH($C112,'Mass attenuation coefficients'!$A$2:$A$37,1)))*(INDEX('Mass attenuation coefficients'!$B$2:$B$37,MATCH($C112,'Mass attenuation coefficients'!$A$2:$A$37,1)+1)-INDEX('Mass attenuation coefficients'!$B$2:$B$37,MATCH($C112,'Mass attenuation coefficients'!$A$2:$A$37,1)))/(INDEX('Mass attenuation coefficients'!$A$2:$A$37,MATCH($C112,'Mass attenuation coefficients'!$A$2:$A$37,1)+1)-INDEX('Mass attenuation coefficients'!$A$2:$A$37,MATCH($C112,'Mass attenuation coefficients'!$A$2:$A$37,1)))),0.997*$C112*'Mass attenuation coefficients'!$B$2/'Mass attenuation coefficients'!$A$2)</f>
        <v>0.15085004812</v>
      </c>
      <c r="I112" s="83">
        <f>_xlfn.IFNA(INDEX('Shultis Faw'!$C$2:$C$26,MATCH($C112,'Shultis Faw'!$A$2:$A$26,1))+($C112-INDEX('Shultis Faw'!$A$2:$A$26,MATCH($C112,'Shultis Faw'!$A$2:$A$26,1)))*(INDEX('Shultis Faw'!$C$2:$C$26,MATCH($C112,'Shultis Faw'!$A$2:$A$26,1)+1)-INDEX('Shultis Faw'!$C$2:$C$26,MATCH($C112,'Shultis Faw'!$A$2:$A$26,1)))/(INDEX('Shultis Faw'!$A$2:$A$26,MATCH($C112,'Shultis Faw'!$A$2:$A$26,1)+1)-INDEX('Shultis Faw'!$A$2:$A$26,MATCH($C112,'Shultis Faw'!$A$2:$A$26,1))),$C112*'Shultis Faw'!$C$2/'Shultis Faw'!$A$2)</f>
        <v>3.9274867999999996</v>
      </c>
      <c r="J112" s="83">
        <f>_xlfn.IFNA(INDEX('Shultis Faw'!$D$2:$D$26,MATCH($C112,'Shultis Faw'!$A$2:$A$26,1))+($C112-INDEX('Shultis Faw'!$A$2:$A$26,MATCH($C112,'Shultis Faw'!$A$2:$A$26,1)))*(INDEX('Shultis Faw'!$D$2:$D$26,MATCH($C112,'Shultis Faw'!$A$2:$A$26,1)+1)-INDEX('Shultis Faw'!$D$2:$D$26,MATCH($C112,'Shultis Faw'!$A$2:$A$26,1)))/(INDEX('Shultis Faw'!$A$2:$A$26,MATCH($C112,'Shultis Faw'!$A$2:$A$26,1)+1)-INDEX('Shultis Faw'!$A$2:$A$26,MATCH($C112,'Shultis Faw'!$A$2:$A$26,1))),$C112*'Shultis Faw'!$D$2/'Shultis Faw'!$A$2)</f>
        <v>2.2411642000000001</v>
      </c>
      <c r="K112" s="83">
        <f>_xlfn.IFNA(INDEX('Shultis Faw'!$B$2:$B$26,MATCH($C112,'Shultis Faw'!$A$2:$A$26,1))+($C112-INDEX('Shultis Faw'!$A$2:$A$26,MATCH($C112,'Shultis Faw'!$A$2:$A$26,1)))*(INDEX('Shultis Faw'!$B$2:$B$26,MATCH($C112,'Shultis Faw'!$A$2:$A$26,1)+1)-INDEX('Shultis Faw'!$B$2:$B$26,MATCH($C112,'Shultis Faw'!$A$2:$A$26,1)))/(INDEX('Shultis Faw'!$A$2:$A$26,MATCH($C112,'Shultis Faw'!$A$2:$A$26,1)+1)-INDEX('Shultis Faw'!$A$2:$A$26,MATCH($C112,'Shultis Faw'!$A$2:$A$26,1))),$C112*'Shultis Faw'!$B$2/'Shultis Faw'!$A$2)</f>
        <v>-0.1850398</v>
      </c>
      <c r="L112" s="83">
        <f>_xlfn.IFNA(INDEX('Shultis Faw'!$E$2:$E$26,MATCH($C112,'Shultis Faw'!$A$2:$A$26,1))+($C112-INDEX('Shultis Faw'!$A$2:$A$26,MATCH($C112,'Shultis Faw'!$A$2:$A$26,1)))*(INDEX('Shultis Faw'!$E$2:$E$26,MATCH($C112,'Shultis Faw'!$A$2:$A$26,1)+1)-INDEX('Shultis Faw'!$E$2:$E$26,MATCH($C112,'Shultis Faw'!$A$2:$A$26,1)))/(INDEX('Shultis Faw'!$A$2:$A$26,MATCH($C112,'Shultis Faw'!$A$2:$A$26,1)+1)-INDEX('Shultis Faw'!$A$2:$A$26,MATCH($C112,'Shultis Faw'!$A$2:$A$26,1))),$C112*'Shultis Faw'!$E$2/'Shultis Faw'!$A$2)</f>
        <v>7.7895020000000009E-2</v>
      </c>
      <c r="M112" s="83">
        <f>_xlfn.IFNA(INDEX('Shultis Faw'!$F$2:$F$26,MATCH($C112,'Shultis Faw'!$A$2:$A$26,1))+($C112-INDEX('Shultis Faw'!$A$2:$A$26,MATCH($C112,'Shultis Faw'!$A$2:$A$26,1)))*(INDEX('Shultis Faw'!$F$2:$F$26,MATCH($C112,'Shultis Faw'!$A$2:$A$26,1)+1)-INDEX('Shultis Faw'!$F$2:$F$26,MATCH($C112,'Shultis Faw'!$A$2:$A$26,1)))/(INDEX('Shultis Faw'!$A$2:$A$26,MATCH($C112,'Shultis Faw'!$A$2:$A$26,1)+1)-INDEX('Shultis Faw'!$A$2:$A$26,MATCH($C112,'Shultis Faw'!$A$2:$A$26,1))),$C112*'Shultis Faw'!$F$2/'Shultis Faw'!$A$2)</f>
        <v>14.155771999999999</v>
      </c>
      <c r="N112" s="83">
        <f>J112*(H112*'Externe blootstelling'!$D$23/2)^K112+L112*(TANH(((H112*'Externe blootstelling'!$D$23)/(2*M112))-2)-TANH(-2))/(1-TANH(-2))</f>
        <v>1.9273913642294915</v>
      </c>
      <c r="O112" s="83">
        <f>IF(N112=1,1+(I112-1)*H112*'Externe blootstelling'!$D$23/2,1+(I112-1)*(N112^(H112*'Externe blootstelling'!$D$23/2)-1)/(N112-1))</f>
        <v>11.776410607967875</v>
      </c>
      <c r="P112" s="67">
        <f>G112*EXP(-H112*'Externe blootstelling'!$D$23/2)*O112</f>
        <v>3.1649728183963318E-4</v>
      </c>
      <c r="Q112" s="68"/>
    </row>
    <row r="113" spans="1:17" x14ac:dyDescent="0.2">
      <c r="A113" s="217"/>
      <c r="B113" s="64" t="s">
        <v>104</v>
      </c>
      <c r="C113" s="66">
        <v>0.19259999999999999</v>
      </c>
      <c r="D113" s="66">
        <f t="shared" si="8"/>
        <v>3.0815999999999996E-14</v>
      </c>
      <c r="E113" s="66">
        <v>6.7999999999999999E-5</v>
      </c>
      <c r="F113" s="66">
        <f>_xlfn.IFNA(INDEX('hp (pSv cm2)'!$B$2:$B$52,MATCH($C113,'hp (pSv cm2)'!$A$2:$A$52,1))+($C113-INDEX('hp (pSv cm2)'!$A$2:$A$52,MATCH($C113,'hp (pSv cm2)'!$A$2:$A$52,1)))*(INDEX('hp (pSv cm2)'!$B$2:$B$52,MATCH($C113,'hp (pSv cm2)'!$A$2:$A$52,1)+1)-INDEX('hp (pSv cm2)'!$B$2:$B$52,MATCH($C113,'hp (pSv cm2)'!$A$2:$A$52,1)))/(INDEX('hp (pSv cm2)'!$A$2:$A$52,MATCH($C113,'hp (pSv cm2)'!$A$2:$A$52,1)+1)-INDEX('hp (pSv cm2)'!$A$2:$A$52,MATCH($C113,'hp (pSv cm2)'!$A$2:$A$52,1))),$C113*'hp (pSv cm2)'!$B$2/'hp (pSv cm2)'!$A$2)</f>
        <v>0.96255599999999997</v>
      </c>
      <c r="G113" s="67">
        <f t="shared" si="9"/>
        <v>6.5453807999999995E-5</v>
      </c>
      <c r="H113" s="83">
        <f>_xlfn.IFNA(0.997*(INDEX('Mass attenuation coefficients'!$B$2:$B$37,MATCH($C113,'Mass attenuation coefficients'!$A$2:$A$37,1))+($C113-INDEX('Mass attenuation coefficients'!$A$2:$A$37,MATCH($C113,'Mass attenuation coefficients'!$A$2:$A$37,1)))*(INDEX('Mass attenuation coefficients'!$B$2:$B$37,MATCH($C113,'Mass attenuation coefficients'!$A$2:$A$37,1)+1)-INDEX('Mass attenuation coefficients'!$B$2:$B$37,MATCH($C113,'Mass attenuation coefficients'!$A$2:$A$37,1)))/(INDEX('Mass attenuation coefficients'!$A$2:$A$37,MATCH($C113,'Mass attenuation coefficients'!$A$2:$A$37,1)+1)-INDEX('Mass attenuation coefficients'!$A$2:$A$37,MATCH($C113,'Mass attenuation coefficients'!$A$2:$A$37,1)))),0.997*$C113*'Mass attenuation coefficients'!$B$2/'Mass attenuation coefficients'!$A$2)</f>
        <v>0.13858100600000001</v>
      </c>
      <c r="I113" s="83">
        <f>_xlfn.IFNA(INDEX('Shultis Faw'!$C$2:$C$26,MATCH($C113,'Shultis Faw'!$A$2:$A$26,1))+($C113-INDEX('Shultis Faw'!$A$2:$A$26,MATCH($C113,'Shultis Faw'!$A$2:$A$26,1)))*(INDEX('Shultis Faw'!$C$2:$C$26,MATCH($C113,'Shultis Faw'!$A$2:$A$26,1)+1)-INDEX('Shultis Faw'!$C$2:$C$26,MATCH($C113,'Shultis Faw'!$A$2:$A$26,1)))/(INDEX('Shultis Faw'!$A$2:$A$26,MATCH($C113,'Shultis Faw'!$A$2:$A$26,1)+1)-INDEX('Shultis Faw'!$A$2:$A$26,MATCH($C113,'Shultis Faw'!$A$2:$A$26,1))),$C113*'Shultis Faw'!$C$2/'Shultis Faw'!$A$2)</f>
        <v>3.5400120000000004</v>
      </c>
      <c r="J113" s="83">
        <f>_xlfn.IFNA(INDEX('Shultis Faw'!$D$2:$D$26,MATCH($C113,'Shultis Faw'!$A$2:$A$26,1))+($C113-INDEX('Shultis Faw'!$A$2:$A$26,MATCH($C113,'Shultis Faw'!$A$2:$A$26,1)))*(INDEX('Shultis Faw'!$D$2:$D$26,MATCH($C113,'Shultis Faw'!$A$2:$A$26,1)+1)-INDEX('Shultis Faw'!$D$2:$D$26,MATCH($C113,'Shultis Faw'!$A$2:$A$26,1)))/(INDEX('Shultis Faw'!$A$2:$A$26,MATCH($C113,'Shultis Faw'!$A$2:$A$26,1)+1)-INDEX('Shultis Faw'!$A$2:$A$26,MATCH($C113,'Shultis Faw'!$A$2:$A$26,1))),$C113*'Shultis Faw'!$D$2/'Shultis Faw'!$A$2)</f>
        <v>2.1670240000000001</v>
      </c>
      <c r="K113" s="83">
        <f>_xlfn.IFNA(INDEX('Shultis Faw'!$B$2:$B$26,MATCH($C113,'Shultis Faw'!$A$2:$A$26,1))+($C113-INDEX('Shultis Faw'!$A$2:$A$26,MATCH($C113,'Shultis Faw'!$A$2:$A$26,1)))*(INDEX('Shultis Faw'!$B$2:$B$26,MATCH($C113,'Shultis Faw'!$A$2:$A$26,1)+1)-INDEX('Shultis Faw'!$B$2:$B$26,MATCH($C113,'Shultis Faw'!$A$2:$A$26,1)))/(INDEX('Shultis Faw'!$A$2:$A$26,MATCH($C113,'Shultis Faw'!$A$2:$A$26,1)+1)-INDEX('Shultis Faw'!$A$2:$A$26,MATCH($C113,'Shultis Faw'!$A$2:$A$26,1))),$C113*'Shultis Faw'!$B$2/'Shultis Faw'!$A$2)</f>
        <v>-0.17733199999999999</v>
      </c>
      <c r="L113" s="83">
        <f>_xlfn.IFNA(INDEX('Shultis Faw'!$E$2:$E$26,MATCH($C113,'Shultis Faw'!$A$2:$A$26,1))+($C113-INDEX('Shultis Faw'!$A$2:$A$26,MATCH($C113,'Shultis Faw'!$A$2:$A$26,1)))*(INDEX('Shultis Faw'!$E$2:$E$26,MATCH($C113,'Shultis Faw'!$A$2:$A$26,1)+1)-INDEX('Shultis Faw'!$E$2:$E$26,MATCH($C113,'Shultis Faw'!$A$2:$A$26,1)))/(INDEX('Shultis Faw'!$A$2:$A$26,MATCH($C113,'Shultis Faw'!$A$2:$A$26,1)+1)-INDEX('Shultis Faw'!$A$2:$A$26,MATCH($C113,'Shultis Faw'!$A$2:$A$26,1))),$C113*'Shultis Faw'!$E$2/'Shultis Faw'!$A$2)</f>
        <v>7.7444399999999997E-2</v>
      </c>
      <c r="M113" s="83">
        <f>_xlfn.IFNA(INDEX('Shultis Faw'!$F$2:$F$26,MATCH($C113,'Shultis Faw'!$A$2:$A$26,1))+($C113-INDEX('Shultis Faw'!$A$2:$A$26,MATCH($C113,'Shultis Faw'!$A$2:$A$26,1)))*(INDEX('Shultis Faw'!$F$2:$F$26,MATCH($C113,'Shultis Faw'!$A$2:$A$26,1)+1)-INDEX('Shultis Faw'!$F$2:$F$26,MATCH($C113,'Shultis Faw'!$A$2:$A$26,1)))/(INDEX('Shultis Faw'!$A$2:$A$26,MATCH($C113,'Shultis Faw'!$A$2:$A$26,1)+1)-INDEX('Shultis Faw'!$A$2:$A$26,MATCH($C113,'Shultis Faw'!$A$2:$A$26,1))),$C113*'Shultis Faw'!$F$2/'Shultis Faw'!$A$2)</f>
        <v>14.45412</v>
      </c>
      <c r="N113" s="83">
        <f>J113*(H113*'Externe blootstelling'!$D$23/2)^K113+L113*(TANH(((H113*'Externe blootstelling'!$D$23)/(2*M113))-2)-TANH(-2))/(1-TANH(-2))</f>
        <v>1.9037669519819012</v>
      </c>
      <c r="O113" s="83">
        <f>IF(N113=1,1+(I113-1)*H113*'Externe blootstelling'!$D$23/2,1+(I113-1)*(N113^(H113*'Externe blootstelling'!$D$23/2)-1)/(N113-1))</f>
        <v>8.9051328525580011</v>
      </c>
      <c r="P113" s="67">
        <f>G113*EXP(-H113*'Externe blootstelling'!$D$23/2)*O113</f>
        <v>7.2912305025272302E-5</v>
      </c>
      <c r="Q113" s="68"/>
    </row>
    <row r="114" spans="1:17" x14ac:dyDescent="0.2">
      <c r="A114" s="217"/>
      <c r="B114" s="64" t="s">
        <v>104</v>
      </c>
      <c r="C114" s="66">
        <v>0.20760000000000001</v>
      </c>
      <c r="D114" s="66">
        <f t="shared" si="8"/>
        <v>3.3215999999999997E-14</v>
      </c>
      <c r="E114" s="66">
        <v>5.8999999999999998E-5</v>
      </c>
      <c r="F114" s="66">
        <f>_xlfn.IFNA(INDEX('hp (pSv cm2)'!$B$2:$B$52,MATCH($C114,'hp (pSv cm2)'!$A$2:$A$52,1))+($C114-INDEX('hp (pSv cm2)'!$A$2:$A$52,MATCH($C114,'hp (pSv cm2)'!$A$2:$A$52,1)))*(INDEX('hp (pSv cm2)'!$B$2:$B$52,MATCH($C114,'hp (pSv cm2)'!$A$2:$A$52,1)+1)-INDEX('hp (pSv cm2)'!$B$2:$B$52,MATCH($C114,'hp (pSv cm2)'!$A$2:$A$52,1)))/(INDEX('hp (pSv cm2)'!$A$2:$A$52,MATCH($C114,'hp (pSv cm2)'!$A$2:$A$52,1)+1)-INDEX('hp (pSv cm2)'!$A$2:$A$52,MATCH($C114,'hp (pSv cm2)'!$A$2:$A$52,1))),$C114*'hp (pSv cm2)'!$B$2/'hp (pSv cm2)'!$A$2)</f>
        <v>1.0387599999999999</v>
      </c>
      <c r="G114" s="67">
        <f t="shared" si="9"/>
        <v>6.1286839999999987E-5</v>
      </c>
      <c r="H114" s="83">
        <f>_xlfn.IFNA(0.997*(INDEX('Mass attenuation coefficients'!$B$2:$B$37,MATCH($C114,'Mass attenuation coefficients'!$A$2:$A$37,1))+($C114-INDEX('Mass attenuation coefficients'!$A$2:$A$37,MATCH($C114,'Mass attenuation coefficients'!$A$2:$A$37,1)))*(INDEX('Mass attenuation coefficients'!$B$2:$B$37,MATCH($C114,'Mass attenuation coefficients'!$A$2:$A$37,1)+1)-INDEX('Mass attenuation coefficients'!$B$2:$B$37,MATCH($C114,'Mass attenuation coefficients'!$A$2:$A$37,1)))/(INDEX('Mass attenuation coefficients'!$A$2:$A$37,MATCH($C114,'Mass attenuation coefficients'!$A$2:$A$37,1)+1)-INDEX('Mass attenuation coefficients'!$A$2:$A$37,MATCH($C114,'Mass attenuation coefficients'!$A$2:$A$37,1)))),0.997*$C114*'Mass attenuation coefficients'!$B$2/'Mass attenuation coefficients'!$A$2)</f>
        <v>0.13519479520000002</v>
      </c>
      <c r="I114" s="83">
        <f>_xlfn.IFNA(INDEX('Shultis Faw'!$C$2:$C$26,MATCH($C114,'Shultis Faw'!$A$2:$A$26,1))+($C114-INDEX('Shultis Faw'!$A$2:$A$26,MATCH($C114,'Shultis Faw'!$A$2:$A$26,1)))*(INDEX('Shultis Faw'!$C$2:$C$26,MATCH($C114,'Shultis Faw'!$A$2:$A$26,1)+1)-INDEX('Shultis Faw'!$C$2:$C$26,MATCH($C114,'Shultis Faw'!$A$2:$A$26,1)))/(INDEX('Shultis Faw'!$A$2:$A$26,MATCH($C114,'Shultis Faw'!$A$2:$A$26,1)+1)-INDEX('Shultis Faw'!$A$2:$A$26,MATCH($C114,'Shultis Faw'!$A$2:$A$26,1))),$C114*'Shultis Faw'!$C$2/'Shultis Faw'!$A$2)</f>
        <v>3.4355920000000002</v>
      </c>
      <c r="J114" s="83">
        <f>_xlfn.IFNA(INDEX('Shultis Faw'!$D$2:$D$26,MATCH($C114,'Shultis Faw'!$A$2:$A$26,1))+($C114-INDEX('Shultis Faw'!$A$2:$A$26,MATCH($C114,'Shultis Faw'!$A$2:$A$26,1)))*(INDEX('Shultis Faw'!$D$2:$D$26,MATCH($C114,'Shultis Faw'!$A$2:$A$26,1)+1)-INDEX('Shultis Faw'!$D$2:$D$26,MATCH($C114,'Shultis Faw'!$A$2:$A$26,1)))/(INDEX('Shultis Faw'!$A$2:$A$26,MATCH($C114,'Shultis Faw'!$A$2:$A$26,1)+1)-INDEX('Shultis Faw'!$A$2:$A$26,MATCH($C114,'Shultis Faw'!$A$2:$A$26,1))),$C114*'Shultis Faw'!$D$2/'Shultis Faw'!$A$2)</f>
        <v>2.1439680000000001</v>
      </c>
      <c r="K114" s="83">
        <f>_xlfn.IFNA(INDEX('Shultis Faw'!$B$2:$B$26,MATCH($C114,'Shultis Faw'!$A$2:$A$26,1))+($C114-INDEX('Shultis Faw'!$A$2:$A$26,MATCH($C114,'Shultis Faw'!$A$2:$A$26,1)))*(INDEX('Shultis Faw'!$B$2:$B$26,MATCH($C114,'Shultis Faw'!$A$2:$A$26,1)+1)-INDEX('Shultis Faw'!$B$2:$B$26,MATCH($C114,'Shultis Faw'!$A$2:$A$26,1)))/(INDEX('Shultis Faw'!$A$2:$A$26,MATCH($C114,'Shultis Faw'!$A$2:$A$26,1)+1)-INDEX('Shultis Faw'!$A$2:$A$26,MATCH($C114,'Shultis Faw'!$A$2:$A$26,1))),$C114*'Shultis Faw'!$B$2/'Shultis Faw'!$A$2)</f>
        <v>-0.17508799999999999</v>
      </c>
      <c r="L114" s="83">
        <f>_xlfn.IFNA(INDEX('Shultis Faw'!$E$2:$E$26,MATCH($C114,'Shultis Faw'!$A$2:$A$26,1))+($C114-INDEX('Shultis Faw'!$A$2:$A$26,MATCH($C114,'Shultis Faw'!$A$2:$A$26,1)))*(INDEX('Shultis Faw'!$E$2:$E$26,MATCH($C114,'Shultis Faw'!$A$2:$A$26,1)+1)-INDEX('Shultis Faw'!$E$2:$E$26,MATCH($C114,'Shultis Faw'!$A$2:$A$26,1)))/(INDEX('Shultis Faw'!$A$2:$A$26,MATCH($C114,'Shultis Faw'!$A$2:$A$26,1)+1)-INDEX('Shultis Faw'!$A$2:$A$26,MATCH($C114,'Shultis Faw'!$A$2:$A$26,1))),$C114*'Shultis Faw'!$E$2/'Shultis Faw'!$A$2)</f>
        <v>7.6495599999999997E-2</v>
      </c>
      <c r="M114" s="83">
        <f>_xlfn.IFNA(INDEX('Shultis Faw'!$F$2:$F$26,MATCH($C114,'Shultis Faw'!$A$2:$A$26,1))+($C114-INDEX('Shultis Faw'!$A$2:$A$26,MATCH($C114,'Shultis Faw'!$A$2:$A$26,1)))*(INDEX('Shultis Faw'!$F$2:$F$26,MATCH($C114,'Shultis Faw'!$A$2:$A$26,1)+1)-INDEX('Shultis Faw'!$F$2:$F$26,MATCH($C114,'Shultis Faw'!$A$2:$A$26,1)))/(INDEX('Shultis Faw'!$A$2:$A$26,MATCH($C114,'Shultis Faw'!$A$2:$A$26,1)+1)-INDEX('Shultis Faw'!$A$2:$A$26,MATCH($C114,'Shultis Faw'!$A$2:$A$26,1))),$C114*'Shultis Faw'!$F$2/'Shultis Faw'!$A$2)</f>
        <v>14.477959999999999</v>
      </c>
      <c r="N114" s="83">
        <f>J114*(H114*'Externe blootstelling'!$D$23/2)^K114+L114*(TANH(((H114*'Externe blootstelling'!$D$23)/(2*M114))-2)-TANH(-2))/(1-TANH(-2))</f>
        <v>1.8947795746906038</v>
      </c>
      <c r="O114" s="83">
        <f>IF(N114=1,1+(I114-1)*H114*'Externe blootstelling'!$D$23/2,1+(I114-1)*(N114^(H114*'Externe blootstelling'!$D$23/2)-1)/(N114-1))</f>
        <v>8.2264573509301471</v>
      </c>
      <c r="P114" s="67">
        <f>G114*EXP(-H114*'Externe blootstelling'!$D$23/2)*O114</f>
        <v>6.6353643756977135E-5</v>
      </c>
      <c r="Q114" s="68"/>
    </row>
    <row r="115" spans="1:17" x14ac:dyDescent="0.2">
      <c r="A115" s="217"/>
      <c r="B115" s="64" t="s">
        <v>104</v>
      </c>
      <c r="C115" s="66">
        <v>0.20940999999999999</v>
      </c>
      <c r="D115" s="66">
        <f t="shared" si="8"/>
        <v>3.3505599999999991E-14</v>
      </c>
      <c r="E115" s="66">
        <v>5.4999999999999995E-5</v>
      </c>
      <c r="F115" s="66">
        <f>_xlfn.IFNA(INDEX('hp (pSv cm2)'!$B$2:$B$52,MATCH($C115,'hp (pSv cm2)'!$A$2:$A$52,1))+($C115-INDEX('hp (pSv cm2)'!$A$2:$A$52,MATCH($C115,'hp (pSv cm2)'!$A$2:$A$52,1)))*(INDEX('hp (pSv cm2)'!$B$2:$B$52,MATCH($C115,'hp (pSv cm2)'!$A$2:$A$52,1)+1)-INDEX('hp (pSv cm2)'!$B$2:$B$52,MATCH($C115,'hp (pSv cm2)'!$A$2:$A$52,1)))/(INDEX('hp (pSv cm2)'!$A$2:$A$52,MATCH($C115,'hp (pSv cm2)'!$A$2:$A$52,1)+1)-INDEX('hp (pSv cm2)'!$A$2:$A$52,MATCH($C115,'hp (pSv cm2)'!$A$2:$A$52,1))),$C115*'hp (pSv cm2)'!$B$2/'hp (pSv cm2)'!$A$2)</f>
        <v>1.0479909999999999</v>
      </c>
      <c r="G115" s="67">
        <f t="shared" si="9"/>
        <v>5.7639504999999989E-5</v>
      </c>
      <c r="H115" s="83">
        <f>_xlfn.IFNA(0.997*(INDEX('Mass attenuation coefficients'!$B$2:$B$37,MATCH($C115,'Mass attenuation coefficients'!$A$2:$A$37,1))+($C115-INDEX('Mass attenuation coefficients'!$A$2:$A$37,MATCH($C115,'Mass attenuation coefficients'!$A$2:$A$37,1)))*(INDEX('Mass attenuation coefficients'!$B$2:$B$37,MATCH($C115,'Mass attenuation coefficients'!$A$2:$A$37,1)+1)-INDEX('Mass attenuation coefficients'!$B$2:$B$37,MATCH($C115,'Mass attenuation coefficients'!$A$2:$A$37,1)))/(INDEX('Mass attenuation coefficients'!$A$2:$A$37,MATCH($C115,'Mass attenuation coefficients'!$A$2:$A$37,1)+1)-INDEX('Mass attenuation coefficients'!$A$2:$A$37,MATCH($C115,'Mass attenuation coefficients'!$A$2:$A$37,1)))),0.997*$C115*'Mass attenuation coefficients'!$B$2/'Mass attenuation coefficients'!$A$2)</f>
        <v>0.13486275432</v>
      </c>
      <c r="I115" s="83">
        <f>_xlfn.IFNA(INDEX('Shultis Faw'!$C$2:$C$26,MATCH($C115,'Shultis Faw'!$A$2:$A$26,1))+($C115-INDEX('Shultis Faw'!$A$2:$A$26,MATCH($C115,'Shultis Faw'!$A$2:$A$26,1)))*(INDEX('Shultis Faw'!$C$2:$C$26,MATCH($C115,'Shultis Faw'!$A$2:$A$26,1)+1)-INDEX('Shultis Faw'!$C$2:$C$26,MATCH($C115,'Shultis Faw'!$A$2:$A$26,1)))/(INDEX('Shultis Faw'!$A$2:$A$26,MATCH($C115,'Shultis Faw'!$A$2:$A$26,1)+1)-INDEX('Shultis Faw'!$A$2:$A$26,MATCH($C115,'Shultis Faw'!$A$2:$A$26,1))),$C115*'Shultis Faw'!$C$2/'Shultis Faw'!$A$2)</f>
        <v>3.4254922000000003</v>
      </c>
      <c r="J115" s="83">
        <f>_xlfn.IFNA(INDEX('Shultis Faw'!$D$2:$D$26,MATCH($C115,'Shultis Faw'!$A$2:$A$26,1))+($C115-INDEX('Shultis Faw'!$A$2:$A$26,MATCH($C115,'Shultis Faw'!$A$2:$A$26,1)))*(INDEX('Shultis Faw'!$D$2:$D$26,MATCH($C115,'Shultis Faw'!$A$2:$A$26,1)+1)-INDEX('Shultis Faw'!$D$2:$D$26,MATCH($C115,'Shultis Faw'!$A$2:$A$26,1)))/(INDEX('Shultis Faw'!$A$2:$A$26,MATCH($C115,'Shultis Faw'!$A$2:$A$26,1)+1)-INDEX('Shultis Faw'!$A$2:$A$26,MATCH($C115,'Shultis Faw'!$A$2:$A$26,1))),$C115*'Shultis Faw'!$D$2/'Shultis Faw'!$A$2)</f>
        <v>2.1415788</v>
      </c>
      <c r="K115" s="83">
        <f>_xlfn.IFNA(INDEX('Shultis Faw'!$B$2:$B$26,MATCH($C115,'Shultis Faw'!$A$2:$A$26,1))+($C115-INDEX('Shultis Faw'!$A$2:$A$26,MATCH($C115,'Shultis Faw'!$A$2:$A$26,1)))*(INDEX('Shultis Faw'!$B$2:$B$26,MATCH($C115,'Shultis Faw'!$A$2:$A$26,1)+1)-INDEX('Shultis Faw'!$B$2:$B$26,MATCH($C115,'Shultis Faw'!$A$2:$A$26,1)))/(INDEX('Shultis Faw'!$A$2:$A$26,MATCH($C115,'Shultis Faw'!$A$2:$A$26,1)+1)-INDEX('Shultis Faw'!$A$2:$A$26,MATCH($C115,'Shultis Faw'!$A$2:$A$26,1))),$C115*'Shultis Faw'!$B$2/'Shultis Faw'!$A$2)</f>
        <v>-0.17487079999999999</v>
      </c>
      <c r="L115" s="83">
        <f>_xlfn.IFNA(INDEX('Shultis Faw'!$E$2:$E$26,MATCH($C115,'Shultis Faw'!$A$2:$A$26,1))+($C115-INDEX('Shultis Faw'!$A$2:$A$26,MATCH($C115,'Shultis Faw'!$A$2:$A$26,1)))*(INDEX('Shultis Faw'!$E$2:$E$26,MATCH($C115,'Shultis Faw'!$A$2:$A$26,1)+1)-INDEX('Shultis Faw'!$E$2:$E$26,MATCH($C115,'Shultis Faw'!$A$2:$A$26,1)))/(INDEX('Shultis Faw'!$A$2:$A$26,MATCH($C115,'Shultis Faw'!$A$2:$A$26,1)+1)-INDEX('Shultis Faw'!$A$2:$A$26,MATCH($C115,'Shultis Faw'!$A$2:$A$26,1))),$C115*'Shultis Faw'!$E$2/'Shultis Faw'!$A$2)</f>
        <v>7.6280210000000001E-2</v>
      </c>
      <c r="M115" s="83">
        <f>_xlfn.IFNA(INDEX('Shultis Faw'!$F$2:$F$26,MATCH($C115,'Shultis Faw'!$A$2:$A$26,1))+($C115-INDEX('Shultis Faw'!$A$2:$A$26,MATCH($C115,'Shultis Faw'!$A$2:$A$26,1)))*(INDEX('Shultis Faw'!$F$2:$F$26,MATCH($C115,'Shultis Faw'!$A$2:$A$26,1)+1)-INDEX('Shultis Faw'!$F$2:$F$26,MATCH($C115,'Shultis Faw'!$A$2:$A$26,1)))/(INDEX('Shultis Faw'!$A$2:$A$26,MATCH($C115,'Shultis Faw'!$A$2:$A$26,1)+1)-INDEX('Shultis Faw'!$A$2:$A$26,MATCH($C115,'Shultis Faw'!$A$2:$A$26,1))),$C115*'Shultis Faw'!$F$2/'Shultis Faw'!$A$2)</f>
        <v>14.472711</v>
      </c>
      <c r="N115" s="83">
        <f>J115*(H115*'Externe blootstelling'!$D$23/2)^K115+L115*(TANH(((H115*'Externe blootstelling'!$D$23)/(2*M115))-2)-TANH(-2))/(1-TANH(-2))</f>
        <v>1.893770842984094</v>
      </c>
      <c r="O115" s="83">
        <f>IF(N115=1,1+(I115-1)*H115*'Externe blootstelling'!$D$23/2,1+(I115-1)*(N115^(H115*'Externe blootstelling'!$D$23/2)-1)/(N115-1))</f>
        <v>8.1624470258925559</v>
      </c>
      <c r="P115" s="67">
        <f>G115*EXP(-H115*'Externe blootstelling'!$D$23/2)*O115</f>
        <v>6.2228361790176202E-5</v>
      </c>
      <c r="Q115" s="68"/>
    </row>
    <row r="116" spans="1:17" x14ac:dyDescent="0.2">
      <c r="A116" s="217"/>
      <c r="B116" s="64" t="s">
        <v>104</v>
      </c>
      <c r="C116" s="66">
        <v>0.21256800000000001</v>
      </c>
      <c r="D116" s="66">
        <f t="shared" si="8"/>
        <v>3.4010879999999998E-14</v>
      </c>
      <c r="E116" s="66">
        <v>1.9599999999999999E-4</v>
      </c>
      <c r="F116" s="66">
        <f>_xlfn.IFNA(INDEX('hp (pSv cm2)'!$B$2:$B$52,MATCH($C116,'hp (pSv cm2)'!$A$2:$A$52,1))+($C116-INDEX('hp (pSv cm2)'!$A$2:$A$52,MATCH($C116,'hp (pSv cm2)'!$A$2:$A$52,1)))*(INDEX('hp (pSv cm2)'!$B$2:$B$52,MATCH($C116,'hp (pSv cm2)'!$A$2:$A$52,1)+1)-INDEX('hp (pSv cm2)'!$B$2:$B$52,MATCH($C116,'hp (pSv cm2)'!$A$2:$A$52,1)))/(INDEX('hp (pSv cm2)'!$A$2:$A$52,MATCH($C116,'hp (pSv cm2)'!$A$2:$A$52,1)+1)-INDEX('hp (pSv cm2)'!$A$2:$A$52,MATCH($C116,'hp (pSv cm2)'!$A$2:$A$52,1))),$C116*'hp (pSv cm2)'!$B$2/'hp (pSv cm2)'!$A$2)</f>
        <v>1.0640968</v>
      </c>
      <c r="G116" s="67">
        <f t="shared" si="9"/>
        <v>2.0856297279999998E-4</v>
      </c>
      <c r="H116" s="83">
        <f>_xlfn.IFNA(0.997*(INDEX('Mass attenuation coefficients'!$B$2:$B$37,MATCH($C116,'Mass attenuation coefficients'!$A$2:$A$37,1))+($C116-INDEX('Mass attenuation coefficients'!$A$2:$A$37,MATCH($C116,'Mass attenuation coefficients'!$A$2:$A$37,1)))*(INDEX('Mass attenuation coefficients'!$B$2:$B$37,MATCH($C116,'Mass attenuation coefficients'!$A$2:$A$37,1)+1)-INDEX('Mass attenuation coefficients'!$B$2:$B$37,MATCH($C116,'Mass attenuation coefficients'!$A$2:$A$37,1)))/(INDEX('Mass attenuation coefficients'!$A$2:$A$37,MATCH($C116,'Mass attenuation coefficients'!$A$2:$A$37,1)+1)-INDEX('Mass attenuation coefficients'!$A$2:$A$37,MATCH($C116,'Mass attenuation coefficients'!$A$2:$A$37,1)))),0.997*$C116*'Mass attenuation coefficients'!$B$2/'Mass attenuation coefficients'!$A$2)</f>
        <v>0.13428342553600003</v>
      </c>
      <c r="I116" s="83">
        <f>_xlfn.IFNA(INDEX('Shultis Faw'!$C$2:$C$26,MATCH($C116,'Shultis Faw'!$A$2:$A$26,1))+($C116-INDEX('Shultis Faw'!$A$2:$A$26,MATCH($C116,'Shultis Faw'!$A$2:$A$26,1)))*(INDEX('Shultis Faw'!$C$2:$C$26,MATCH($C116,'Shultis Faw'!$A$2:$A$26,1)+1)-INDEX('Shultis Faw'!$C$2:$C$26,MATCH($C116,'Shultis Faw'!$A$2:$A$26,1)))/(INDEX('Shultis Faw'!$A$2:$A$26,MATCH($C116,'Shultis Faw'!$A$2:$A$26,1)+1)-INDEX('Shultis Faw'!$A$2:$A$26,MATCH($C116,'Shultis Faw'!$A$2:$A$26,1))),$C116*'Shultis Faw'!$C$2/'Shultis Faw'!$A$2)</f>
        <v>3.4078705600000001</v>
      </c>
      <c r="J116" s="83">
        <f>_xlfn.IFNA(INDEX('Shultis Faw'!$D$2:$D$26,MATCH($C116,'Shultis Faw'!$A$2:$A$26,1))+($C116-INDEX('Shultis Faw'!$A$2:$A$26,MATCH($C116,'Shultis Faw'!$A$2:$A$26,1)))*(INDEX('Shultis Faw'!$D$2:$D$26,MATCH($C116,'Shultis Faw'!$A$2:$A$26,1)+1)-INDEX('Shultis Faw'!$D$2:$D$26,MATCH($C116,'Shultis Faw'!$A$2:$A$26,1)))/(INDEX('Shultis Faw'!$A$2:$A$26,MATCH($C116,'Shultis Faw'!$A$2:$A$26,1)+1)-INDEX('Shultis Faw'!$A$2:$A$26,MATCH($C116,'Shultis Faw'!$A$2:$A$26,1))),$C116*'Shultis Faw'!$D$2/'Shultis Faw'!$A$2)</f>
        <v>2.1374102399999999</v>
      </c>
      <c r="K116" s="83">
        <f>_xlfn.IFNA(INDEX('Shultis Faw'!$B$2:$B$26,MATCH($C116,'Shultis Faw'!$A$2:$A$26,1))+($C116-INDEX('Shultis Faw'!$A$2:$A$26,MATCH($C116,'Shultis Faw'!$A$2:$A$26,1)))*(INDEX('Shultis Faw'!$B$2:$B$26,MATCH($C116,'Shultis Faw'!$A$2:$A$26,1)+1)-INDEX('Shultis Faw'!$B$2:$B$26,MATCH($C116,'Shultis Faw'!$A$2:$A$26,1)))/(INDEX('Shultis Faw'!$A$2:$A$26,MATCH($C116,'Shultis Faw'!$A$2:$A$26,1)+1)-INDEX('Shultis Faw'!$A$2:$A$26,MATCH($C116,'Shultis Faw'!$A$2:$A$26,1))),$C116*'Shultis Faw'!$B$2/'Shultis Faw'!$A$2)</f>
        <v>-0.17449183999999998</v>
      </c>
      <c r="L116" s="83">
        <f>_xlfn.IFNA(INDEX('Shultis Faw'!$E$2:$E$26,MATCH($C116,'Shultis Faw'!$A$2:$A$26,1))+($C116-INDEX('Shultis Faw'!$A$2:$A$26,MATCH($C116,'Shultis Faw'!$A$2:$A$26,1)))*(INDEX('Shultis Faw'!$E$2:$E$26,MATCH($C116,'Shultis Faw'!$A$2:$A$26,1)+1)-INDEX('Shultis Faw'!$E$2:$E$26,MATCH($C116,'Shultis Faw'!$A$2:$A$26,1)))/(INDEX('Shultis Faw'!$A$2:$A$26,MATCH($C116,'Shultis Faw'!$A$2:$A$26,1)+1)-INDEX('Shultis Faw'!$A$2:$A$26,MATCH($C116,'Shultis Faw'!$A$2:$A$26,1))),$C116*'Shultis Faw'!$E$2/'Shultis Faw'!$A$2)</f>
        <v>7.5904407999999993E-2</v>
      </c>
      <c r="M116" s="83">
        <f>_xlfn.IFNA(INDEX('Shultis Faw'!$F$2:$F$26,MATCH($C116,'Shultis Faw'!$A$2:$A$26,1))+($C116-INDEX('Shultis Faw'!$A$2:$A$26,MATCH($C116,'Shultis Faw'!$A$2:$A$26,1)))*(INDEX('Shultis Faw'!$F$2:$F$26,MATCH($C116,'Shultis Faw'!$A$2:$A$26,1)+1)-INDEX('Shultis Faw'!$F$2:$F$26,MATCH($C116,'Shultis Faw'!$A$2:$A$26,1)))/(INDEX('Shultis Faw'!$A$2:$A$26,MATCH($C116,'Shultis Faw'!$A$2:$A$26,1)+1)-INDEX('Shultis Faw'!$A$2:$A$26,MATCH($C116,'Shultis Faw'!$A$2:$A$26,1))),$C116*'Shultis Faw'!$F$2/'Shultis Faw'!$A$2)</f>
        <v>14.4635528</v>
      </c>
      <c r="N116" s="83">
        <f>J116*(H116*'Externe blootstelling'!$D$23/2)^K116+L116*(TANH(((H116*'Externe blootstelling'!$D$23)/(2*M116))-2)-TANH(-2))/(1-TANH(-2))</f>
        <v>1.8920064689758724</v>
      </c>
      <c r="O116" s="83">
        <f>IF(N116=1,1+(I116-1)*H116*'Externe blootstelling'!$D$23/2,1+(I116-1)*(N116^(H116*'Externe blootstelling'!$D$23/2)-1)/(N116-1))</f>
        <v>8.0517869176853001</v>
      </c>
      <c r="P116" s="67">
        <f>G116*EXP(-H116*'Externe blootstelling'!$D$23/2)*O116</f>
        <v>2.2405323605203549E-4</v>
      </c>
      <c r="Q116" s="68"/>
    </row>
    <row r="117" spans="1:17" x14ac:dyDescent="0.2">
      <c r="A117" s="217"/>
      <c r="B117" s="64" t="s">
        <v>104</v>
      </c>
      <c r="C117" s="66">
        <v>0.23730999999999999</v>
      </c>
      <c r="D117" s="66">
        <f t="shared" si="8"/>
        <v>3.7969599999999998E-14</v>
      </c>
      <c r="E117" s="66">
        <v>2.5000000000000001E-5</v>
      </c>
      <c r="F117" s="66">
        <f>_xlfn.IFNA(INDEX('hp (pSv cm2)'!$B$2:$B$52,MATCH($C117,'hp (pSv cm2)'!$A$2:$A$52,1))+($C117-INDEX('hp (pSv cm2)'!$A$2:$A$52,MATCH($C117,'hp (pSv cm2)'!$A$2:$A$52,1)))*(INDEX('hp (pSv cm2)'!$B$2:$B$52,MATCH($C117,'hp (pSv cm2)'!$A$2:$A$52,1)+1)-INDEX('hp (pSv cm2)'!$B$2:$B$52,MATCH($C117,'hp (pSv cm2)'!$A$2:$A$52,1)))/(INDEX('hp (pSv cm2)'!$A$2:$A$52,MATCH($C117,'hp (pSv cm2)'!$A$2:$A$52,1)+1)-INDEX('hp (pSv cm2)'!$A$2:$A$52,MATCH($C117,'hp (pSv cm2)'!$A$2:$A$52,1))),$C117*'hp (pSv cm2)'!$B$2/'hp (pSv cm2)'!$A$2)</f>
        <v>1.1902809999999999</v>
      </c>
      <c r="G117" s="67">
        <f t="shared" si="9"/>
        <v>2.9757024999999998E-5</v>
      </c>
      <c r="H117" s="83">
        <f>_xlfn.IFNA(0.997*(INDEX('Mass attenuation coefficients'!$B$2:$B$37,MATCH($C117,'Mass attenuation coefficients'!$A$2:$A$37,1))+($C117-INDEX('Mass attenuation coefficients'!$A$2:$A$37,MATCH($C117,'Mass attenuation coefficients'!$A$2:$A$37,1)))*(INDEX('Mass attenuation coefficients'!$B$2:$B$37,MATCH($C117,'Mass attenuation coefficients'!$A$2:$A$37,1)+1)-INDEX('Mass attenuation coefficients'!$B$2:$B$37,MATCH($C117,'Mass attenuation coefficients'!$A$2:$A$37,1)))/(INDEX('Mass attenuation coefficients'!$A$2:$A$37,MATCH($C117,'Mass attenuation coefficients'!$A$2:$A$37,1)+1)-INDEX('Mass attenuation coefficients'!$A$2:$A$37,MATCH($C117,'Mass attenuation coefficients'!$A$2:$A$37,1)))),0.997*$C117*'Mass attenuation coefficients'!$B$2/'Mass attenuation coefficients'!$A$2)</f>
        <v>0.12974455511999999</v>
      </c>
      <c r="I117" s="83">
        <f>_xlfn.IFNA(INDEX('Shultis Faw'!$C$2:$C$26,MATCH($C117,'Shultis Faw'!$A$2:$A$26,1))+($C117-INDEX('Shultis Faw'!$A$2:$A$26,MATCH($C117,'Shultis Faw'!$A$2:$A$26,1)))*(INDEX('Shultis Faw'!$C$2:$C$26,MATCH($C117,'Shultis Faw'!$A$2:$A$26,1)+1)-INDEX('Shultis Faw'!$C$2:$C$26,MATCH($C117,'Shultis Faw'!$A$2:$A$26,1)))/(INDEX('Shultis Faw'!$A$2:$A$26,MATCH($C117,'Shultis Faw'!$A$2:$A$26,1)+1)-INDEX('Shultis Faw'!$A$2:$A$26,MATCH($C117,'Shultis Faw'!$A$2:$A$26,1))),$C117*'Shultis Faw'!$C$2/'Shultis Faw'!$A$2)</f>
        <v>3.2698102000000002</v>
      </c>
      <c r="J117" s="83">
        <f>_xlfn.IFNA(INDEX('Shultis Faw'!$D$2:$D$26,MATCH($C117,'Shultis Faw'!$A$2:$A$26,1))+($C117-INDEX('Shultis Faw'!$A$2:$A$26,MATCH($C117,'Shultis Faw'!$A$2:$A$26,1)))*(INDEX('Shultis Faw'!$D$2:$D$26,MATCH($C117,'Shultis Faw'!$A$2:$A$26,1)+1)-INDEX('Shultis Faw'!$D$2:$D$26,MATCH($C117,'Shultis Faw'!$A$2:$A$26,1)))/(INDEX('Shultis Faw'!$A$2:$A$26,MATCH($C117,'Shultis Faw'!$A$2:$A$26,1)+1)-INDEX('Shultis Faw'!$A$2:$A$26,MATCH($C117,'Shultis Faw'!$A$2:$A$26,1))),$C117*'Shultis Faw'!$D$2/'Shultis Faw'!$A$2)</f>
        <v>2.1047507999999997</v>
      </c>
      <c r="K117" s="83">
        <f>_xlfn.IFNA(INDEX('Shultis Faw'!$B$2:$B$26,MATCH($C117,'Shultis Faw'!$A$2:$A$26,1))+($C117-INDEX('Shultis Faw'!$A$2:$A$26,MATCH($C117,'Shultis Faw'!$A$2:$A$26,1)))*(INDEX('Shultis Faw'!$B$2:$B$26,MATCH($C117,'Shultis Faw'!$A$2:$A$26,1)+1)-INDEX('Shultis Faw'!$B$2:$B$26,MATCH($C117,'Shultis Faw'!$A$2:$A$26,1)))/(INDEX('Shultis Faw'!$A$2:$A$26,MATCH($C117,'Shultis Faw'!$A$2:$A$26,1)+1)-INDEX('Shultis Faw'!$A$2:$A$26,MATCH($C117,'Shultis Faw'!$A$2:$A$26,1))),$C117*'Shultis Faw'!$B$2/'Shultis Faw'!$A$2)</f>
        <v>-0.1715228</v>
      </c>
      <c r="L117" s="83">
        <f>_xlfn.IFNA(INDEX('Shultis Faw'!$E$2:$E$26,MATCH($C117,'Shultis Faw'!$A$2:$A$26,1))+($C117-INDEX('Shultis Faw'!$A$2:$A$26,MATCH($C117,'Shultis Faw'!$A$2:$A$26,1)))*(INDEX('Shultis Faw'!$E$2:$E$26,MATCH($C117,'Shultis Faw'!$A$2:$A$26,1)+1)-INDEX('Shultis Faw'!$E$2:$E$26,MATCH($C117,'Shultis Faw'!$A$2:$A$26,1)))/(INDEX('Shultis Faw'!$A$2:$A$26,MATCH($C117,'Shultis Faw'!$A$2:$A$26,1)+1)-INDEX('Shultis Faw'!$A$2:$A$26,MATCH($C117,'Shultis Faw'!$A$2:$A$26,1))),$C117*'Shultis Faw'!$E$2/'Shultis Faw'!$A$2)</f>
        <v>7.2960109999999995E-2</v>
      </c>
      <c r="M117" s="83">
        <f>_xlfn.IFNA(INDEX('Shultis Faw'!$F$2:$F$26,MATCH($C117,'Shultis Faw'!$A$2:$A$26,1))+($C117-INDEX('Shultis Faw'!$A$2:$A$26,MATCH($C117,'Shultis Faw'!$A$2:$A$26,1)))*(INDEX('Shultis Faw'!$F$2:$F$26,MATCH($C117,'Shultis Faw'!$A$2:$A$26,1)+1)-INDEX('Shultis Faw'!$F$2:$F$26,MATCH($C117,'Shultis Faw'!$A$2:$A$26,1)))/(INDEX('Shultis Faw'!$A$2:$A$26,MATCH($C117,'Shultis Faw'!$A$2:$A$26,1)+1)-INDEX('Shultis Faw'!$A$2:$A$26,MATCH($C117,'Shultis Faw'!$A$2:$A$26,1))),$C117*'Shultis Faw'!$F$2/'Shultis Faw'!$A$2)</f>
        <v>14.391801000000001</v>
      </c>
      <c r="N117" s="83">
        <f>J117*(H117*'Externe blootstelling'!$D$23/2)^K117+L117*(TANH(((H117*'Externe blootstelling'!$D$23)/(2*M117))-2)-TANH(-2))/(1-TANH(-2))</f>
        <v>1.8779904690396525</v>
      </c>
      <c r="O117" s="83">
        <f>IF(N117=1,1+(I117-1)*H117*'Externe blootstelling'!$D$23/2,1+(I117-1)*(N117^(H117*'Externe blootstelling'!$D$23/2)-1)/(N117-1))</f>
        <v>7.2283626447422211</v>
      </c>
      <c r="P117" s="67">
        <f>G117*EXP(-H117*'Externe blootstelling'!$D$23/2)*O117</f>
        <v>3.0719863209463715E-5</v>
      </c>
      <c r="Q117" s="68"/>
    </row>
    <row r="118" spans="1:17" x14ac:dyDescent="0.2">
      <c r="A118" s="217"/>
      <c r="B118" s="64" t="s">
        <v>104</v>
      </c>
      <c r="C118" s="66">
        <v>0.23941999999999999</v>
      </c>
      <c r="D118" s="66">
        <f t="shared" si="8"/>
        <v>3.8307199999999996E-14</v>
      </c>
      <c r="E118" s="66">
        <v>8.0000000000000007E-5</v>
      </c>
      <c r="F118" s="66">
        <f>_xlfn.IFNA(INDEX('hp (pSv cm2)'!$B$2:$B$52,MATCH($C118,'hp (pSv cm2)'!$A$2:$A$52,1))+($C118-INDEX('hp (pSv cm2)'!$A$2:$A$52,MATCH($C118,'hp (pSv cm2)'!$A$2:$A$52,1)))*(INDEX('hp (pSv cm2)'!$B$2:$B$52,MATCH($C118,'hp (pSv cm2)'!$A$2:$A$52,1)+1)-INDEX('hp (pSv cm2)'!$B$2:$B$52,MATCH($C118,'hp (pSv cm2)'!$A$2:$A$52,1)))/(INDEX('hp (pSv cm2)'!$A$2:$A$52,MATCH($C118,'hp (pSv cm2)'!$A$2:$A$52,1)+1)-INDEX('hp (pSv cm2)'!$A$2:$A$52,MATCH($C118,'hp (pSv cm2)'!$A$2:$A$52,1))),$C118*'hp (pSv cm2)'!$B$2/'hp (pSv cm2)'!$A$2)</f>
        <v>1.2010419999999999</v>
      </c>
      <c r="G118" s="67">
        <f t="shared" si="9"/>
        <v>9.6083360000000006E-5</v>
      </c>
      <c r="H118" s="83">
        <f>_xlfn.IFNA(0.997*(INDEX('Mass attenuation coefficients'!$B$2:$B$37,MATCH($C118,'Mass attenuation coefficients'!$A$2:$A$37,1))+($C118-INDEX('Mass attenuation coefficients'!$A$2:$A$37,MATCH($C118,'Mass attenuation coefficients'!$A$2:$A$37,1)))*(INDEX('Mass attenuation coefficients'!$B$2:$B$37,MATCH($C118,'Mass attenuation coefficients'!$A$2:$A$37,1)+1)-INDEX('Mass attenuation coefficients'!$B$2:$B$37,MATCH($C118,'Mass attenuation coefficients'!$A$2:$A$37,1)))/(INDEX('Mass attenuation coefficients'!$A$2:$A$37,MATCH($C118,'Mass attenuation coefficients'!$A$2:$A$37,1)+1)-INDEX('Mass attenuation coefficients'!$A$2:$A$37,MATCH($C118,'Mass attenuation coefficients'!$A$2:$A$37,1)))),0.997*$C118*'Mass attenuation coefficients'!$B$2/'Mass attenuation coefficients'!$A$2)</f>
        <v>0.12935747984000001</v>
      </c>
      <c r="I118" s="83">
        <f>_xlfn.IFNA(INDEX('Shultis Faw'!$C$2:$C$26,MATCH($C118,'Shultis Faw'!$A$2:$A$26,1))+($C118-INDEX('Shultis Faw'!$A$2:$A$26,MATCH($C118,'Shultis Faw'!$A$2:$A$26,1)))*(INDEX('Shultis Faw'!$C$2:$C$26,MATCH($C118,'Shultis Faw'!$A$2:$A$26,1)+1)-INDEX('Shultis Faw'!$C$2:$C$26,MATCH($C118,'Shultis Faw'!$A$2:$A$26,1)))/(INDEX('Shultis Faw'!$A$2:$A$26,MATCH($C118,'Shultis Faw'!$A$2:$A$26,1)+1)-INDEX('Shultis Faw'!$A$2:$A$26,MATCH($C118,'Shultis Faw'!$A$2:$A$26,1))),$C118*'Shultis Faw'!$C$2/'Shultis Faw'!$A$2)</f>
        <v>3.2580363999999999</v>
      </c>
      <c r="J118" s="83">
        <f>_xlfn.IFNA(INDEX('Shultis Faw'!$D$2:$D$26,MATCH($C118,'Shultis Faw'!$A$2:$A$26,1))+($C118-INDEX('Shultis Faw'!$A$2:$A$26,MATCH($C118,'Shultis Faw'!$A$2:$A$26,1)))*(INDEX('Shultis Faw'!$D$2:$D$26,MATCH($C118,'Shultis Faw'!$A$2:$A$26,1)+1)-INDEX('Shultis Faw'!$D$2:$D$26,MATCH($C118,'Shultis Faw'!$A$2:$A$26,1)))/(INDEX('Shultis Faw'!$A$2:$A$26,MATCH($C118,'Shultis Faw'!$A$2:$A$26,1)+1)-INDEX('Shultis Faw'!$A$2:$A$26,MATCH($C118,'Shultis Faw'!$A$2:$A$26,1))),$C118*'Shultis Faw'!$D$2/'Shultis Faw'!$A$2)</f>
        <v>2.1019655999999998</v>
      </c>
      <c r="K118" s="83">
        <f>_xlfn.IFNA(INDEX('Shultis Faw'!$B$2:$B$26,MATCH($C118,'Shultis Faw'!$A$2:$A$26,1))+($C118-INDEX('Shultis Faw'!$A$2:$A$26,MATCH($C118,'Shultis Faw'!$A$2:$A$26,1)))*(INDEX('Shultis Faw'!$B$2:$B$26,MATCH($C118,'Shultis Faw'!$A$2:$A$26,1)+1)-INDEX('Shultis Faw'!$B$2:$B$26,MATCH($C118,'Shultis Faw'!$A$2:$A$26,1)))/(INDEX('Shultis Faw'!$A$2:$A$26,MATCH($C118,'Shultis Faw'!$A$2:$A$26,1)+1)-INDEX('Shultis Faw'!$A$2:$A$26,MATCH($C118,'Shultis Faw'!$A$2:$A$26,1))),$C118*'Shultis Faw'!$B$2/'Shultis Faw'!$A$2)</f>
        <v>-0.17126959999999999</v>
      </c>
      <c r="L118" s="83">
        <f>_xlfn.IFNA(INDEX('Shultis Faw'!$E$2:$E$26,MATCH($C118,'Shultis Faw'!$A$2:$A$26,1))+($C118-INDEX('Shultis Faw'!$A$2:$A$26,MATCH($C118,'Shultis Faw'!$A$2:$A$26,1)))*(INDEX('Shultis Faw'!$E$2:$E$26,MATCH($C118,'Shultis Faw'!$A$2:$A$26,1)+1)-INDEX('Shultis Faw'!$E$2:$E$26,MATCH($C118,'Shultis Faw'!$A$2:$A$26,1)))/(INDEX('Shultis Faw'!$A$2:$A$26,MATCH($C118,'Shultis Faw'!$A$2:$A$26,1)+1)-INDEX('Shultis Faw'!$A$2:$A$26,MATCH($C118,'Shultis Faw'!$A$2:$A$26,1))),$C118*'Shultis Faw'!$E$2/'Shultis Faw'!$A$2)</f>
        <v>7.2709019999999999E-2</v>
      </c>
      <c r="M118" s="83">
        <f>_xlfn.IFNA(INDEX('Shultis Faw'!$F$2:$F$26,MATCH($C118,'Shultis Faw'!$A$2:$A$26,1))+($C118-INDEX('Shultis Faw'!$A$2:$A$26,MATCH($C118,'Shultis Faw'!$A$2:$A$26,1)))*(INDEX('Shultis Faw'!$F$2:$F$26,MATCH($C118,'Shultis Faw'!$A$2:$A$26,1)+1)-INDEX('Shultis Faw'!$F$2:$F$26,MATCH($C118,'Shultis Faw'!$A$2:$A$26,1)))/(INDEX('Shultis Faw'!$A$2:$A$26,MATCH($C118,'Shultis Faw'!$A$2:$A$26,1)+1)-INDEX('Shultis Faw'!$A$2:$A$26,MATCH($C118,'Shultis Faw'!$A$2:$A$26,1))),$C118*'Shultis Faw'!$F$2/'Shultis Faw'!$A$2)</f>
        <v>14.385682000000001</v>
      </c>
      <c r="N118" s="83">
        <f>J118*(H118*'Externe blootstelling'!$D$23/2)^K118+L118*(TANH(((H118*'Externe blootstelling'!$D$23)/(2*M118))-2)-TANH(-2))/(1-TANH(-2))</f>
        <v>1.8767794098708046</v>
      </c>
      <c r="O118" s="83">
        <f>IF(N118=1,1+(I118-1)*H118*'Externe blootstelling'!$D$23/2,1+(I118-1)*(N118^(H118*'Externe blootstelling'!$D$23/2)-1)/(N118-1))</f>
        <v>7.1616032937903711</v>
      </c>
      <c r="P118" s="67">
        <f>G118*EXP(-H118*'Externe blootstelling'!$D$23/2)*O118</f>
        <v>9.8848446131767176E-5</v>
      </c>
      <c r="Q118" s="68"/>
    </row>
    <row r="119" spans="1:17" x14ac:dyDescent="0.2">
      <c r="A119" s="217"/>
      <c r="B119" s="64" t="s">
        <v>104</v>
      </c>
      <c r="C119" s="66">
        <v>0.24469739999999998</v>
      </c>
      <c r="D119" s="66">
        <f t="shared" si="8"/>
        <v>3.9151583999999995E-14</v>
      </c>
      <c r="E119" s="66">
        <v>7.5499999999999998E-2</v>
      </c>
      <c r="F119" s="66">
        <f>_xlfn.IFNA(INDEX('hp (pSv cm2)'!$B$2:$B$52,MATCH($C119,'hp (pSv cm2)'!$A$2:$A$52,1))+($C119-INDEX('hp (pSv cm2)'!$A$2:$A$52,MATCH($C119,'hp (pSv cm2)'!$A$2:$A$52,1)))*(INDEX('hp (pSv cm2)'!$B$2:$B$52,MATCH($C119,'hp (pSv cm2)'!$A$2:$A$52,1)+1)-INDEX('hp (pSv cm2)'!$B$2:$B$52,MATCH($C119,'hp (pSv cm2)'!$A$2:$A$52,1)))/(INDEX('hp (pSv cm2)'!$A$2:$A$52,MATCH($C119,'hp (pSv cm2)'!$A$2:$A$52,1)+1)-INDEX('hp (pSv cm2)'!$A$2:$A$52,MATCH($C119,'hp (pSv cm2)'!$A$2:$A$52,1))),$C119*'hp (pSv cm2)'!$B$2/'hp (pSv cm2)'!$A$2)</f>
        <v>1.22795674</v>
      </c>
      <c r="G119" s="67">
        <f t="shared" si="9"/>
        <v>9.2710733869999992E-2</v>
      </c>
      <c r="H119" s="83">
        <f>_xlfn.IFNA(0.997*(INDEX('Mass attenuation coefficients'!$B$2:$B$37,MATCH($C119,'Mass attenuation coefficients'!$A$2:$A$37,1))+($C119-INDEX('Mass attenuation coefficients'!$A$2:$A$37,MATCH($C119,'Mass attenuation coefficients'!$A$2:$A$37,1)))*(INDEX('Mass attenuation coefficients'!$B$2:$B$37,MATCH($C119,'Mass attenuation coefficients'!$A$2:$A$37,1)+1)-INDEX('Mass attenuation coefficients'!$B$2:$B$37,MATCH($C119,'Mass attenuation coefficients'!$A$2:$A$37,1)))/(INDEX('Mass attenuation coefficients'!$A$2:$A$37,MATCH($C119,'Mass attenuation coefficients'!$A$2:$A$37,1)+1)-INDEX('Mass attenuation coefficients'!$A$2:$A$37,MATCH($C119,'Mass attenuation coefficients'!$A$2:$A$37,1)))),0.997*$C119*'Mass attenuation coefficients'!$B$2/'Mass attenuation coefficients'!$A$2)</f>
        <v>0.12838935136480001</v>
      </c>
      <c r="I119" s="83">
        <f>_xlfn.IFNA(INDEX('Shultis Faw'!$C$2:$C$26,MATCH($C119,'Shultis Faw'!$A$2:$A$26,1))+($C119-INDEX('Shultis Faw'!$A$2:$A$26,MATCH($C119,'Shultis Faw'!$A$2:$A$26,1)))*(INDEX('Shultis Faw'!$C$2:$C$26,MATCH($C119,'Shultis Faw'!$A$2:$A$26,1)+1)-INDEX('Shultis Faw'!$C$2:$C$26,MATCH($C119,'Shultis Faw'!$A$2:$A$26,1)))/(INDEX('Shultis Faw'!$A$2:$A$26,MATCH($C119,'Shultis Faw'!$A$2:$A$26,1)+1)-INDEX('Shultis Faw'!$A$2:$A$26,MATCH($C119,'Shultis Faw'!$A$2:$A$26,1))),$C119*'Shultis Faw'!$C$2/'Shultis Faw'!$A$2)</f>
        <v>3.2285885080000001</v>
      </c>
      <c r="J119" s="83">
        <f>_xlfn.IFNA(INDEX('Shultis Faw'!$D$2:$D$26,MATCH($C119,'Shultis Faw'!$A$2:$A$26,1))+($C119-INDEX('Shultis Faw'!$A$2:$A$26,MATCH($C119,'Shultis Faw'!$A$2:$A$26,1)))*(INDEX('Shultis Faw'!$D$2:$D$26,MATCH($C119,'Shultis Faw'!$A$2:$A$26,1)+1)-INDEX('Shultis Faw'!$D$2:$D$26,MATCH($C119,'Shultis Faw'!$A$2:$A$26,1)))/(INDEX('Shultis Faw'!$A$2:$A$26,MATCH($C119,'Shultis Faw'!$A$2:$A$26,1)+1)-INDEX('Shultis Faw'!$A$2:$A$26,MATCH($C119,'Shultis Faw'!$A$2:$A$26,1))),$C119*'Shultis Faw'!$D$2/'Shultis Faw'!$A$2)</f>
        <v>2.0949994319999998</v>
      </c>
      <c r="K119" s="83">
        <f>_xlfn.IFNA(INDEX('Shultis Faw'!$B$2:$B$26,MATCH($C119,'Shultis Faw'!$A$2:$A$26,1))+($C119-INDEX('Shultis Faw'!$A$2:$A$26,MATCH($C119,'Shultis Faw'!$A$2:$A$26,1)))*(INDEX('Shultis Faw'!$B$2:$B$26,MATCH($C119,'Shultis Faw'!$A$2:$A$26,1)+1)-INDEX('Shultis Faw'!$B$2:$B$26,MATCH($C119,'Shultis Faw'!$A$2:$A$26,1)))/(INDEX('Shultis Faw'!$A$2:$A$26,MATCH($C119,'Shultis Faw'!$A$2:$A$26,1)+1)-INDEX('Shultis Faw'!$A$2:$A$26,MATCH($C119,'Shultis Faw'!$A$2:$A$26,1))),$C119*'Shultis Faw'!$B$2/'Shultis Faw'!$A$2)</f>
        <v>-0.17063631200000001</v>
      </c>
      <c r="L119" s="83">
        <f>_xlfn.IFNA(INDEX('Shultis Faw'!$E$2:$E$26,MATCH($C119,'Shultis Faw'!$A$2:$A$26,1))+($C119-INDEX('Shultis Faw'!$A$2:$A$26,MATCH($C119,'Shultis Faw'!$A$2:$A$26,1)))*(INDEX('Shultis Faw'!$E$2:$E$26,MATCH($C119,'Shultis Faw'!$A$2:$A$26,1)+1)-INDEX('Shultis Faw'!$E$2:$E$26,MATCH($C119,'Shultis Faw'!$A$2:$A$26,1)))/(INDEX('Shultis Faw'!$A$2:$A$26,MATCH($C119,'Shultis Faw'!$A$2:$A$26,1)+1)-INDEX('Shultis Faw'!$A$2:$A$26,MATCH($C119,'Shultis Faw'!$A$2:$A$26,1))),$C119*'Shultis Faw'!$E$2/'Shultis Faw'!$A$2)</f>
        <v>7.2081009400000007E-2</v>
      </c>
      <c r="M119" s="83">
        <f>_xlfn.IFNA(INDEX('Shultis Faw'!$F$2:$F$26,MATCH($C119,'Shultis Faw'!$A$2:$A$26,1))+($C119-INDEX('Shultis Faw'!$A$2:$A$26,MATCH($C119,'Shultis Faw'!$A$2:$A$26,1)))*(INDEX('Shultis Faw'!$F$2:$F$26,MATCH($C119,'Shultis Faw'!$A$2:$A$26,1)+1)-INDEX('Shultis Faw'!$F$2:$F$26,MATCH($C119,'Shultis Faw'!$A$2:$A$26,1)))/(INDEX('Shultis Faw'!$A$2:$A$26,MATCH($C119,'Shultis Faw'!$A$2:$A$26,1)+1)-INDEX('Shultis Faw'!$A$2:$A$26,MATCH($C119,'Shultis Faw'!$A$2:$A$26,1))),$C119*'Shultis Faw'!$F$2/'Shultis Faw'!$A$2)</f>
        <v>14.37037754</v>
      </c>
      <c r="N119" s="83">
        <f>J119*(H119*'Externe blootstelling'!$D$23/2)^K119+L119*(TANH(((H119*'Externe blootstelling'!$D$23)/(2*M119))-2)-TANH(-2))/(1-TANH(-2))</f>
        <v>1.8737395624919331</v>
      </c>
      <c r="O119" s="83">
        <f>IF(N119=1,1+(I119-1)*H119*'Externe blootstelling'!$D$23/2,1+(I119-1)*(N119^(H119*'Externe blootstelling'!$D$23/2)-1)/(N119-1))</f>
        <v>6.9969302489422853</v>
      </c>
      <c r="P119" s="67">
        <f>G119*EXP(-H119*'Externe blootstelling'!$D$23/2)*O119</f>
        <v>9.4548743323014814E-2</v>
      </c>
      <c r="Q119" s="68"/>
    </row>
    <row r="120" spans="1:17" x14ac:dyDescent="0.2">
      <c r="A120" s="217"/>
      <c r="B120" s="64" t="s">
        <v>104</v>
      </c>
      <c r="C120" s="66">
        <v>0.251633</v>
      </c>
      <c r="D120" s="66">
        <f t="shared" si="8"/>
        <v>4.026128E-14</v>
      </c>
      <c r="E120" s="66">
        <v>6.7100000000000005E-4</v>
      </c>
      <c r="F120" s="66">
        <f>_xlfn.IFNA(INDEX('hp (pSv cm2)'!$B$2:$B$52,MATCH($C120,'hp (pSv cm2)'!$A$2:$A$52,1))+($C120-INDEX('hp (pSv cm2)'!$A$2:$A$52,MATCH($C120,'hp (pSv cm2)'!$A$2:$A$52,1)))*(INDEX('hp (pSv cm2)'!$B$2:$B$52,MATCH($C120,'hp (pSv cm2)'!$A$2:$A$52,1)+1)-INDEX('hp (pSv cm2)'!$B$2:$B$52,MATCH($C120,'hp (pSv cm2)'!$A$2:$A$52,1)))/(INDEX('hp (pSv cm2)'!$A$2:$A$52,MATCH($C120,'hp (pSv cm2)'!$A$2:$A$52,1)+1)-INDEX('hp (pSv cm2)'!$A$2:$A$52,MATCH($C120,'hp (pSv cm2)'!$A$2:$A$52,1))),$C120*'hp (pSv cm2)'!$B$2/'hp (pSv cm2)'!$A$2)</f>
        <v>1.2633283</v>
      </c>
      <c r="G120" s="67">
        <f t="shared" si="9"/>
        <v>8.4769328930000003E-4</v>
      </c>
      <c r="H120" s="83">
        <f>_xlfn.IFNA(0.997*(INDEX('Mass attenuation coefficients'!$B$2:$B$37,MATCH($C120,'Mass attenuation coefficients'!$A$2:$A$37,1))+($C120-INDEX('Mass attenuation coefficients'!$A$2:$A$37,MATCH($C120,'Mass attenuation coefficients'!$A$2:$A$37,1)))*(INDEX('Mass attenuation coefficients'!$B$2:$B$37,MATCH($C120,'Mass attenuation coefficients'!$A$2:$A$37,1)+1)-INDEX('Mass attenuation coefficients'!$B$2:$B$37,MATCH($C120,'Mass attenuation coefficients'!$A$2:$A$37,1)))/(INDEX('Mass attenuation coefficients'!$A$2:$A$37,MATCH($C120,'Mass attenuation coefficients'!$A$2:$A$37,1)+1)-INDEX('Mass attenuation coefficients'!$A$2:$A$37,MATCH($C120,'Mass attenuation coefficients'!$A$2:$A$37,1)))),0.997*$C120*'Mass attenuation coefficients'!$B$2/'Mass attenuation coefficients'!$A$2)</f>
        <v>0.127117029416</v>
      </c>
      <c r="I120" s="83">
        <f>_xlfn.IFNA(INDEX('Shultis Faw'!$C$2:$C$26,MATCH($C120,'Shultis Faw'!$A$2:$A$26,1))+($C120-INDEX('Shultis Faw'!$A$2:$A$26,MATCH($C120,'Shultis Faw'!$A$2:$A$26,1)))*(INDEX('Shultis Faw'!$C$2:$C$26,MATCH($C120,'Shultis Faw'!$A$2:$A$26,1)+1)-INDEX('Shultis Faw'!$C$2:$C$26,MATCH($C120,'Shultis Faw'!$A$2:$A$26,1)))/(INDEX('Shultis Faw'!$A$2:$A$26,MATCH($C120,'Shultis Faw'!$A$2:$A$26,1)+1)-INDEX('Shultis Faw'!$A$2:$A$26,MATCH($C120,'Shultis Faw'!$A$2:$A$26,1))),$C120*'Shultis Faw'!$C$2/'Shultis Faw'!$A$2)</f>
        <v>3.1898878600000002</v>
      </c>
      <c r="J120" s="83">
        <f>_xlfn.IFNA(INDEX('Shultis Faw'!$D$2:$D$26,MATCH($C120,'Shultis Faw'!$A$2:$A$26,1))+($C120-INDEX('Shultis Faw'!$A$2:$A$26,MATCH($C120,'Shultis Faw'!$A$2:$A$26,1)))*(INDEX('Shultis Faw'!$D$2:$D$26,MATCH($C120,'Shultis Faw'!$A$2:$A$26,1)+1)-INDEX('Shultis Faw'!$D$2:$D$26,MATCH($C120,'Shultis Faw'!$A$2:$A$26,1)))/(INDEX('Shultis Faw'!$A$2:$A$26,MATCH($C120,'Shultis Faw'!$A$2:$A$26,1)+1)-INDEX('Shultis Faw'!$A$2:$A$26,MATCH($C120,'Shultis Faw'!$A$2:$A$26,1))),$C120*'Shultis Faw'!$D$2/'Shultis Faw'!$A$2)</f>
        <v>2.0858444399999998</v>
      </c>
      <c r="K120" s="83">
        <f>_xlfn.IFNA(INDEX('Shultis Faw'!$B$2:$B$26,MATCH($C120,'Shultis Faw'!$A$2:$A$26,1))+($C120-INDEX('Shultis Faw'!$A$2:$A$26,MATCH($C120,'Shultis Faw'!$A$2:$A$26,1)))*(INDEX('Shultis Faw'!$B$2:$B$26,MATCH($C120,'Shultis Faw'!$A$2:$A$26,1)+1)-INDEX('Shultis Faw'!$B$2:$B$26,MATCH($C120,'Shultis Faw'!$A$2:$A$26,1)))/(INDEX('Shultis Faw'!$A$2:$A$26,MATCH($C120,'Shultis Faw'!$A$2:$A$26,1)+1)-INDEX('Shultis Faw'!$A$2:$A$26,MATCH($C120,'Shultis Faw'!$A$2:$A$26,1))),$C120*'Shultis Faw'!$B$2/'Shultis Faw'!$A$2)</f>
        <v>-0.16980403999999999</v>
      </c>
      <c r="L120" s="83">
        <f>_xlfn.IFNA(INDEX('Shultis Faw'!$E$2:$E$26,MATCH($C120,'Shultis Faw'!$A$2:$A$26,1))+($C120-INDEX('Shultis Faw'!$A$2:$A$26,MATCH($C120,'Shultis Faw'!$A$2:$A$26,1)))*(INDEX('Shultis Faw'!$E$2:$E$26,MATCH($C120,'Shultis Faw'!$A$2:$A$26,1)+1)-INDEX('Shultis Faw'!$E$2:$E$26,MATCH($C120,'Shultis Faw'!$A$2:$A$26,1)))/(INDEX('Shultis Faw'!$A$2:$A$26,MATCH($C120,'Shultis Faw'!$A$2:$A$26,1)+1)-INDEX('Shultis Faw'!$A$2:$A$26,MATCH($C120,'Shultis Faw'!$A$2:$A$26,1))),$C120*'Shultis Faw'!$E$2/'Shultis Faw'!$A$2)</f>
        <v>7.1255673000000005E-2</v>
      </c>
      <c r="M120" s="83">
        <f>_xlfn.IFNA(INDEX('Shultis Faw'!$F$2:$F$26,MATCH($C120,'Shultis Faw'!$A$2:$A$26,1))+($C120-INDEX('Shultis Faw'!$A$2:$A$26,MATCH($C120,'Shultis Faw'!$A$2:$A$26,1)))*(INDEX('Shultis Faw'!$F$2:$F$26,MATCH($C120,'Shultis Faw'!$A$2:$A$26,1)+1)-INDEX('Shultis Faw'!$F$2:$F$26,MATCH($C120,'Shultis Faw'!$A$2:$A$26,1)))/(INDEX('Shultis Faw'!$A$2:$A$26,MATCH($C120,'Shultis Faw'!$A$2:$A$26,1)+1)-INDEX('Shultis Faw'!$A$2:$A$26,MATCH($C120,'Shultis Faw'!$A$2:$A$26,1))),$C120*'Shultis Faw'!$F$2/'Shultis Faw'!$A$2)</f>
        <v>14.350264300000001</v>
      </c>
      <c r="N120" s="83">
        <f>J120*(H120*'Externe blootstelling'!$D$23/2)^K120+L120*(TANH(((H120*'Externe blootstelling'!$D$23)/(2*M120))-2)-TANH(-2))/(1-TANH(-2))</f>
        <v>1.8697210934517035</v>
      </c>
      <c r="O120" s="83">
        <f>IF(N120=1,1+(I120-1)*H120*'Externe blootstelling'!$D$23/2,1+(I120-1)*(N120^(H120*'Externe blootstelling'!$D$23/2)-1)/(N120-1))</f>
        <v>6.7854393622486668</v>
      </c>
      <c r="P120" s="67">
        <f>G120*EXP(-H120*'Externe blootstelling'!$D$23/2)*O120</f>
        <v>8.5452220494349558E-4</v>
      </c>
      <c r="Q120" s="68"/>
    </row>
    <row r="121" spans="1:17" x14ac:dyDescent="0.2">
      <c r="A121" s="217"/>
      <c r="B121" s="64" t="s">
        <v>104</v>
      </c>
      <c r="C121" s="66">
        <v>0.26985999999999999</v>
      </c>
      <c r="D121" s="66">
        <f t="shared" si="8"/>
        <v>4.3177599999999995E-14</v>
      </c>
      <c r="E121" s="66">
        <v>6.0000000000000002E-5</v>
      </c>
      <c r="F121" s="66">
        <f>_xlfn.IFNA(INDEX('hp (pSv cm2)'!$B$2:$B$52,MATCH($C121,'hp (pSv cm2)'!$A$2:$A$52,1))+($C121-INDEX('hp (pSv cm2)'!$A$2:$A$52,MATCH($C121,'hp (pSv cm2)'!$A$2:$A$52,1)))*(INDEX('hp (pSv cm2)'!$B$2:$B$52,MATCH($C121,'hp (pSv cm2)'!$A$2:$A$52,1)+1)-INDEX('hp (pSv cm2)'!$B$2:$B$52,MATCH($C121,'hp (pSv cm2)'!$A$2:$A$52,1)))/(INDEX('hp (pSv cm2)'!$A$2:$A$52,MATCH($C121,'hp (pSv cm2)'!$A$2:$A$52,1)+1)-INDEX('hp (pSv cm2)'!$A$2:$A$52,MATCH($C121,'hp (pSv cm2)'!$A$2:$A$52,1))),$C121*'hp (pSv cm2)'!$B$2/'hp (pSv cm2)'!$A$2)</f>
        <v>1.3562859999999999</v>
      </c>
      <c r="G121" s="67">
        <f t="shared" si="9"/>
        <v>8.1377160000000001E-5</v>
      </c>
      <c r="H121" s="83">
        <f>_xlfn.IFNA(0.997*(INDEX('Mass attenuation coefficients'!$B$2:$B$37,MATCH($C121,'Mass attenuation coefficients'!$A$2:$A$37,1))+($C121-INDEX('Mass attenuation coefficients'!$A$2:$A$37,MATCH($C121,'Mass attenuation coefficients'!$A$2:$A$37,1)))*(INDEX('Mass attenuation coefficients'!$B$2:$B$37,MATCH($C121,'Mass attenuation coefficients'!$A$2:$A$37,1)+1)-INDEX('Mass attenuation coefficients'!$B$2:$B$37,MATCH($C121,'Mass attenuation coefficients'!$A$2:$A$37,1)))/(INDEX('Mass attenuation coefficients'!$A$2:$A$37,MATCH($C121,'Mass attenuation coefficients'!$A$2:$A$37,1)+1)-INDEX('Mass attenuation coefficients'!$A$2:$A$37,MATCH($C121,'Mass attenuation coefficients'!$A$2:$A$37,1)))),0.997*$C121*'Mass attenuation coefficients'!$B$2/'Mass attenuation coefficients'!$A$2)</f>
        <v>0.12377332272000001</v>
      </c>
      <c r="I121" s="83">
        <f>_xlfn.IFNA(INDEX('Shultis Faw'!$C$2:$C$26,MATCH($C121,'Shultis Faw'!$A$2:$A$26,1))+($C121-INDEX('Shultis Faw'!$A$2:$A$26,MATCH($C121,'Shultis Faw'!$A$2:$A$26,1)))*(INDEX('Shultis Faw'!$C$2:$C$26,MATCH($C121,'Shultis Faw'!$A$2:$A$26,1)+1)-INDEX('Shultis Faw'!$C$2:$C$26,MATCH($C121,'Shultis Faw'!$A$2:$A$26,1)))/(INDEX('Shultis Faw'!$A$2:$A$26,MATCH($C121,'Shultis Faw'!$A$2:$A$26,1)+1)-INDEX('Shultis Faw'!$A$2:$A$26,MATCH($C121,'Shultis Faw'!$A$2:$A$26,1))),$C121*'Shultis Faw'!$C$2/'Shultis Faw'!$A$2)</f>
        <v>3.0881812000000002</v>
      </c>
      <c r="J121" s="83">
        <f>_xlfn.IFNA(INDEX('Shultis Faw'!$D$2:$D$26,MATCH($C121,'Shultis Faw'!$A$2:$A$26,1))+($C121-INDEX('Shultis Faw'!$A$2:$A$26,MATCH($C121,'Shultis Faw'!$A$2:$A$26,1)))*(INDEX('Shultis Faw'!$D$2:$D$26,MATCH($C121,'Shultis Faw'!$A$2:$A$26,1)+1)-INDEX('Shultis Faw'!$D$2:$D$26,MATCH($C121,'Shultis Faw'!$A$2:$A$26,1)))/(INDEX('Shultis Faw'!$A$2:$A$26,MATCH($C121,'Shultis Faw'!$A$2:$A$26,1)+1)-INDEX('Shultis Faw'!$A$2:$A$26,MATCH($C121,'Shultis Faw'!$A$2:$A$26,1))),$C121*'Shultis Faw'!$D$2/'Shultis Faw'!$A$2)</f>
        <v>2.0617847999999999</v>
      </c>
      <c r="K121" s="83">
        <f>_xlfn.IFNA(INDEX('Shultis Faw'!$B$2:$B$26,MATCH($C121,'Shultis Faw'!$A$2:$A$26,1))+($C121-INDEX('Shultis Faw'!$A$2:$A$26,MATCH($C121,'Shultis Faw'!$A$2:$A$26,1)))*(INDEX('Shultis Faw'!$B$2:$B$26,MATCH($C121,'Shultis Faw'!$A$2:$A$26,1)+1)-INDEX('Shultis Faw'!$B$2:$B$26,MATCH($C121,'Shultis Faw'!$A$2:$A$26,1)))/(INDEX('Shultis Faw'!$A$2:$A$26,MATCH($C121,'Shultis Faw'!$A$2:$A$26,1)+1)-INDEX('Shultis Faw'!$A$2:$A$26,MATCH($C121,'Shultis Faw'!$A$2:$A$26,1))),$C121*'Shultis Faw'!$B$2/'Shultis Faw'!$A$2)</f>
        <v>-0.16761680000000001</v>
      </c>
      <c r="L121" s="83">
        <f>_xlfn.IFNA(INDEX('Shultis Faw'!$E$2:$E$26,MATCH($C121,'Shultis Faw'!$A$2:$A$26,1))+($C121-INDEX('Shultis Faw'!$A$2:$A$26,MATCH($C121,'Shultis Faw'!$A$2:$A$26,1)))*(INDEX('Shultis Faw'!$E$2:$E$26,MATCH($C121,'Shultis Faw'!$A$2:$A$26,1)+1)-INDEX('Shultis Faw'!$E$2:$E$26,MATCH($C121,'Shultis Faw'!$A$2:$A$26,1)))/(INDEX('Shultis Faw'!$A$2:$A$26,MATCH($C121,'Shultis Faw'!$A$2:$A$26,1)+1)-INDEX('Shultis Faw'!$A$2:$A$26,MATCH($C121,'Shultis Faw'!$A$2:$A$26,1))),$C121*'Shultis Faw'!$E$2/'Shultis Faw'!$A$2)</f>
        <v>6.9086659999999994E-2</v>
      </c>
      <c r="M121" s="83">
        <f>_xlfn.IFNA(INDEX('Shultis Faw'!$F$2:$F$26,MATCH($C121,'Shultis Faw'!$A$2:$A$26,1))+($C121-INDEX('Shultis Faw'!$A$2:$A$26,MATCH($C121,'Shultis Faw'!$A$2:$A$26,1)))*(INDEX('Shultis Faw'!$F$2:$F$26,MATCH($C121,'Shultis Faw'!$A$2:$A$26,1)+1)-INDEX('Shultis Faw'!$F$2:$F$26,MATCH($C121,'Shultis Faw'!$A$2:$A$26,1)))/(INDEX('Shultis Faw'!$A$2:$A$26,MATCH($C121,'Shultis Faw'!$A$2:$A$26,1)+1)-INDEX('Shultis Faw'!$A$2:$A$26,MATCH($C121,'Shultis Faw'!$A$2:$A$26,1))),$C121*'Shultis Faw'!$F$2/'Shultis Faw'!$A$2)</f>
        <v>14.297406000000001</v>
      </c>
      <c r="N121" s="83">
        <f>J121*(H121*'Externe blootstelling'!$D$23/2)^K121+L121*(TANH(((H121*'Externe blootstelling'!$D$23)/(2*M121))-2)-TANH(-2))/(1-TANH(-2))</f>
        <v>1.8590337282727889</v>
      </c>
      <c r="O121" s="83">
        <f>IF(N121=1,1+(I121-1)*H121*'Externe blootstelling'!$D$23/2,1+(I121-1)*(N121^(H121*'Externe blootstelling'!$D$23/2)-1)/(N121-1))</f>
        <v>6.2554393325065236</v>
      </c>
      <c r="P121" s="67">
        <f>G121*EXP(-H121*'Externe blootstelling'!$D$23/2)*O121</f>
        <v>7.9515039639126495E-5</v>
      </c>
      <c r="Q121" s="68"/>
    </row>
    <row r="122" spans="1:17" x14ac:dyDescent="0.2">
      <c r="A122" s="217"/>
      <c r="B122" s="64" t="s">
        <v>104</v>
      </c>
      <c r="C122" s="66">
        <v>0.27113099999999996</v>
      </c>
      <c r="D122" s="66">
        <f t="shared" si="8"/>
        <v>4.3380959999999985E-14</v>
      </c>
      <c r="E122" s="66">
        <v>7.7999999999999999E-4</v>
      </c>
      <c r="F122" s="66">
        <f>_xlfn.IFNA(INDEX('hp (pSv cm2)'!$B$2:$B$52,MATCH($C122,'hp (pSv cm2)'!$A$2:$A$52,1))+($C122-INDEX('hp (pSv cm2)'!$A$2:$A$52,MATCH($C122,'hp (pSv cm2)'!$A$2:$A$52,1)))*(INDEX('hp (pSv cm2)'!$B$2:$B$52,MATCH($C122,'hp (pSv cm2)'!$A$2:$A$52,1)+1)-INDEX('hp (pSv cm2)'!$B$2:$B$52,MATCH($C122,'hp (pSv cm2)'!$A$2:$A$52,1)))/(INDEX('hp (pSv cm2)'!$A$2:$A$52,MATCH($C122,'hp (pSv cm2)'!$A$2:$A$52,1)+1)-INDEX('hp (pSv cm2)'!$A$2:$A$52,MATCH($C122,'hp (pSv cm2)'!$A$2:$A$52,1))),$C122*'hp (pSv cm2)'!$B$2/'hp (pSv cm2)'!$A$2)</f>
        <v>1.3627680999999998</v>
      </c>
      <c r="G122" s="67">
        <f t="shared" si="9"/>
        <v>1.0629591179999998E-3</v>
      </c>
      <c r="H122" s="83">
        <f>_xlfn.IFNA(0.997*(INDEX('Mass attenuation coefficients'!$B$2:$B$37,MATCH($C122,'Mass attenuation coefficients'!$A$2:$A$37,1))+($C122-INDEX('Mass attenuation coefficients'!$A$2:$A$37,MATCH($C122,'Mass attenuation coefficients'!$A$2:$A$37,1)))*(INDEX('Mass attenuation coefficients'!$B$2:$B$37,MATCH($C122,'Mass attenuation coefficients'!$A$2:$A$37,1)+1)-INDEX('Mass attenuation coefficients'!$B$2:$B$37,MATCH($C122,'Mass attenuation coefficients'!$A$2:$A$37,1)))/(INDEX('Mass attenuation coefficients'!$A$2:$A$37,MATCH($C122,'Mass attenuation coefficients'!$A$2:$A$37,1)+1)-INDEX('Mass attenuation coefficients'!$A$2:$A$37,MATCH($C122,'Mass attenuation coefficients'!$A$2:$A$37,1)))),0.997*$C122*'Mass attenuation coefficients'!$B$2/'Mass attenuation coefficients'!$A$2)</f>
        <v>0.12354016031200001</v>
      </c>
      <c r="I122" s="83">
        <f>_xlfn.IFNA(INDEX('Shultis Faw'!$C$2:$C$26,MATCH($C122,'Shultis Faw'!$A$2:$A$26,1))+($C122-INDEX('Shultis Faw'!$A$2:$A$26,MATCH($C122,'Shultis Faw'!$A$2:$A$26,1)))*(INDEX('Shultis Faw'!$C$2:$C$26,MATCH($C122,'Shultis Faw'!$A$2:$A$26,1)+1)-INDEX('Shultis Faw'!$C$2:$C$26,MATCH($C122,'Shultis Faw'!$A$2:$A$26,1)))/(INDEX('Shultis Faw'!$A$2:$A$26,MATCH($C122,'Shultis Faw'!$A$2:$A$26,1)+1)-INDEX('Shultis Faw'!$A$2:$A$26,MATCH($C122,'Shultis Faw'!$A$2:$A$26,1))),$C122*'Shultis Faw'!$C$2/'Shultis Faw'!$A$2)</f>
        <v>3.0810890200000003</v>
      </c>
      <c r="J122" s="83">
        <f>_xlfn.IFNA(INDEX('Shultis Faw'!$D$2:$D$26,MATCH($C122,'Shultis Faw'!$A$2:$A$26,1))+($C122-INDEX('Shultis Faw'!$A$2:$A$26,MATCH($C122,'Shultis Faw'!$A$2:$A$26,1)))*(INDEX('Shultis Faw'!$D$2:$D$26,MATCH($C122,'Shultis Faw'!$A$2:$A$26,1)+1)-INDEX('Shultis Faw'!$D$2:$D$26,MATCH($C122,'Shultis Faw'!$A$2:$A$26,1)))/(INDEX('Shultis Faw'!$A$2:$A$26,MATCH($C122,'Shultis Faw'!$A$2:$A$26,1)+1)-INDEX('Shultis Faw'!$A$2:$A$26,MATCH($C122,'Shultis Faw'!$A$2:$A$26,1))),$C122*'Shultis Faw'!$D$2/'Shultis Faw'!$A$2)</f>
        <v>2.0601070799999999</v>
      </c>
      <c r="K122" s="83">
        <f>_xlfn.IFNA(INDEX('Shultis Faw'!$B$2:$B$26,MATCH($C122,'Shultis Faw'!$A$2:$A$26,1))+($C122-INDEX('Shultis Faw'!$A$2:$A$26,MATCH($C122,'Shultis Faw'!$A$2:$A$26,1)))*(INDEX('Shultis Faw'!$B$2:$B$26,MATCH($C122,'Shultis Faw'!$A$2:$A$26,1)+1)-INDEX('Shultis Faw'!$B$2:$B$26,MATCH($C122,'Shultis Faw'!$A$2:$A$26,1)))/(INDEX('Shultis Faw'!$A$2:$A$26,MATCH($C122,'Shultis Faw'!$A$2:$A$26,1)+1)-INDEX('Shultis Faw'!$A$2:$A$26,MATCH($C122,'Shultis Faw'!$A$2:$A$26,1))),$C122*'Shultis Faw'!$B$2/'Shultis Faw'!$A$2)</f>
        <v>-0.16746428000000002</v>
      </c>
      <c r="L122" s="83">
        <f>_xlfn.IFNA(INDEX('Shultis Faw'!$E$2:$E$26,MATCH($C122,'Shultis Faw'!$A$2:$A$26,1))+($C122-INDEX('Shultis Faw'!$A$2:$A$26,MATCH($C122,'Shultis Faw'!$A$2:$A$26,1)))*(INDEX('Shultis Faw'!$E$2:$E$26,MATCH($C122,'Shultis Faw'!$A$2:$A$26,1)+1)-INDEX('Shultis Faw'!$E$2:$E$26,MATCH($C122,'Shultis Faw'!$A$2:$A$26,1)))/(INDEX('Shultis Faw'!$A$2:$A$26,MATCH($C122,'Shultis Faw'!$A$2:$A$26,1)+1)-INDEX('Shultis Faw'!$A$2:$A$26,MATCH($C122,'Shultis Faw'!$A$2:$A$26,1))),$C122*'Shultis Faw'!$E$2/'Shultis Faw'!$A$2)</f>
        <v>6.8935411000000002E-2</v>
      </c>
      <c r="M122" s="83">
        <f>_xlfn.IFNA(INDEX('Shultis Faw'!$F$2:$F$26,MATCH($C122,'Shultis Faw'!$A$2:$A$26,1))+($C122-INDEX('Shultis Faw'!$A$2:$A$26,MATCH($C122,'Shultis Faw'!$A$2:$A$26,1)))*(INDEX('Shultis Faw'!$F$2:$F$26,MATCH($C122,'Shultis Faw'!$A$2:$A$26,1)+1)-INDEX('Shultis Faw'!$F$2:$F$26,MATCH($C122,'Shultis Faw'!$A$2:$A$26,1)))/(INDEX('Shultis Faw'!$A$2:$A$26,MATCH($C122,'Shultis Faw'!$A$2:$A$26,1)+1)-INDEX('Shultis Faw'!$A$2:$A$26,MATCH($C122,'Shultis Faw'!$A$2:$A$26,1))),$C122*'Shultis Faw'!$F$2/'Shultis Faw'!$A$2)</f>
        <v>14.293720100000002</v>
      </c>
      <c r="N122" s="83">
        <f>J122*(H122*'Externe blootstelling'!$D$23/2)^K122+L122*(TANH(((H122*'Externe blootstelling'!$D$23)/(2*M122))-2)-TANH(-2))/(1-TANH(-2))</f>
        <v>1.8582816568425631</v>
      </c>
      <c r="O122" s="83">
        <f>IF(N122=1,1+(I122-1)*H122*'Externe blootstelling'!$D$23/2,1+(I122-1)*(N122^(H122*'Externe blootstelling'!$D$23/2)-1)/(N122-1))</f>
        <v>6.2198368081941497</v>
      </c>
      <c r="P122" s="67">
        <f>G122*EXP(-H122*'Externe blootstelling'!$D$23/2)*O122</f>
        <v>1.0363427248729427E-3</v>
      </c>
      <c r="Q122" s="68"/>
    </row>
    <row r="123" spans="1:17" x14ac:dyDescent="0.2">
      <c r="A123" s="217"/>
      <c r="B123" s="64" t="s">
        <v>104</v>
      </c>
      <c r="C123" s="66">
        <v>0.275449</v>
      </c>
      <c r="D123" s="66">
        <f t="shared" si="8"/>
        <v>4.4071839999999999E-14</v>
      </c>
      <c r="E123" s="66">
        <v>3.2300000000000004E-4</v>
      </c>
      <c r="F123" s="66">
        <f>_xlfn.IFNA(INDEX('hp (pSv cm2)'!$B$2:$B$52,MATCH($C123,'hp (pSv cm2)'!$A$2:$A$52,1))+($C123-INDEX('hp (pSv cm2)'!$A$2:$A$52,MATCH($C123,'hp (pSv cm2)'!$A$2:$A$52,1)))*(INDEX('hp (pSv cm2)'!$B$2:$B$52,MATCH($C123,'hp (pSv cm2)'!$A$2:$A$52,1)+1)-INDEX('hp (pSv cm2)'!$B$2:$B$52,MATCH($C123,'hp (pSv cm2)'!$A$2:$A$52,1)))/(INDEX('hp (pSv cm2)'!$A$2:$A$52,MATCH($C123,'hp (pSv cm2)'!$A$2:$A$52,1)+1)-INDEX('hp (pSv cm2)'!$A$2:$A$52,MATCH($C123,'hp (pSv cm2)'!$A$2:$A$52,1))),$C123*'hp (pSv cm2)'!$B$2/'hp (pSv cm2)'!$A$2)</f>
        <v>1.3847899000000001</v>
      </c>
      <c r="G123" s="67">
        <f t="shared" si="9"/>
        <v>4.472871377000001E-4</v>
      </c>
      <c r="H123" s="83">
        <f>_xlfn.IFNA(0.997*(INDEX('Mass attenuation coefficients'!$B$2:$B$37,MATCH($C123,'Mass attenuation coefficients'!$A$2:$A$37,1))+($C123-INDEX('Mass attenuation coefficients'!$A$2:$A$37,MATCH($C123,'Mass attenuation coefficients'!$A$2:$A$37,1)))*(INDEX('Mass attenuation coefficients'!$B$2:$B$37,MATCH($C123,'Mass attenuation coefficients'!$A$2:$A$37,1)+1)-INDEX('Mass attenuation coefficients'!$B$2:$B$37,MATCH($C123,'Mass attenuation coefficients'!$A$2:$A$37,1)))/(INDEX('Mass attenuation coefficients'!$A$2:$A$37,MATCH($C123,'Mass attenuation coefficients'!$A$2:$A$37,1)+1)-INDEX('Mass attenuation coefficients'!$A$2:$A$37,MATCH($C123,'Mass attenuation coefficients'!$A$2:$A$37,1)))),0.997*$C123*'Mass attenuation coefficients'!$B$2/'Mass attenuation coefficients'!$A$2)</f>
        <v>0.122748031848</v>
      </c>
      <c r="I123" s="83">
        <f>_xlfn.IFNA(INDEX('Shultis Faw'!$C$2:$C$26,MATCH($C123,'Shultis Faw'!$A$2:$A$26,1))+($C123-INDEX('Shultis Faw'!$A$2:$A$26,MATCH($C123,'Shultis Faw'!$A$2:$A$26,1)))*(INDEX('Shultis Faw'!$C$2:$C$26,MATCH($C123,'Shultis Faw'!$A$2:$A$26,1)+1)-INDEX('Shultis Faw'!$C$2:$C$26,MATCH($C123,'Shultis Faw'!$A$2:$A$26,1)))/(INDEX('Shultis Faw'!$A$2:$A$26,MATCH($C123,'Shultis Faw'!$A$2:$A$26,1)+1)-INDEX('Shultis Faw'!$A$2:$A$26,MATCH($C123,'Shultis Faw'!$A$2:$A$26,1))),$C123*'Shultis Faw'!$C$2/'Shultis Faw'!$A$2)</f>
        <v>3.05699458</v>
      </c>
      <c r="J123" s="83">
        <f>_xlfn.IFNA(INDEX('Shultis Faw'!$D$2:$D$26,MATCH($C123,'Shultis Faw'!$A$2:$A$26,1))+($C123-INDEX('Shultis Faw'!$A$2:$A$26,MATCH($C123,'Shultis Faw'!$A$2:$A$26,1)))*(INDEX('Shultis Faw'!$D$2:$D$26,MATCH($C123,'Shultis Faw'!$A$2:$A$26,1)+1)-INDEX('Shultis Faw'!$D$2:$D$26,MATCH($C123,'Shultis Faw'!$A$2:$A$26,1)))/(INDEX('Shultis Faw'!$A$2:$A$26,MATCH($C123,'Shultis Faw'!$A$2:$A$26,1)+1)-INDEX('Shultis Faw'!$A$2:$A$26,MATCH($C123,'Shultis Faw'!$A$2:$A$26,1))),$C123*'Shultis Faw'!$D$2/'Shultis Faw'!$A$2)</f>
        <v>2.0544073199999997</v>
      </c>
      <c r="K123" s="83">
        <f>_xlfn.IFNA(INDEX('Shultis Faw'!$B$2:$B$26,MATCH($C123,'Shultis Faw'!$A$2:$A$26,1))+($C123-INDEX('Shultis Faw'!$A$2:$A$26,MATCH($C123,'Shultis Faw'!$A$2:$A$26,1)))*(INDEX('Shultis Faw'!$B$2:$B$26,MATCH($C123,'Shultis Faw'!$A$2:$A$26,1)+1)-INDEX('Shultis Faw'!$B$2:$B$26,MATCH($C123,'Shultis Faw'!$A$2:$A$26,1)))/(INDEX('Shultis Faw'!$A$2:$A$26,MATCH($C123,'Shultis Faw'!$A$2:$A$26,1)+1)-INDEX('Shultis Faw'!$A$2:$A$26,MATCH($C123,'Shultis Faw'!$A$2:$A$26,1))),$C123*'Shultis Faw'!$B$2/'Shultis Faw'!$A$2)</f>
        <v>-0.16694612</v>
      </c>
      <c r="L123" s="83">
        <f>_xlfn.IFNA(INDEX('Shultis Faw'!$E$2:$E$26,MATCH($C123,'Shultis Faw'!$A$2:$A$26,1))+($C123-INDEX('Shultis Faw'!$A$2:$A$26,MATCH($C123,'Shultis Faw'!$A$2:$A$26,1)))*(INDEX('Shultis Faw'!$E$2:$E$26,MATCH($C123,'Shultis Faw'!$A$2:$A$26,1)+1)-INDEX('Shultis Faw'!$E$2:$E$26,MATCH($C123,'Shultis Faw'!$A$2:$A$26,1)))/(INDEX('Shultis Faw'!$A$2:$A$26,MATCH($C123,'Shultis Faw'!$A$2:$A$26,1)+1)-INDEX('Shultis Faw'!$A$2:$A$26,MATCH($C123,'Shultis Faw'!$A$2:$A$26,1))),$C123*'Shultis Faw'!$E$2/'Shultis Faw'!$A$2)</f>
        <v>6.8421569000000002E-2</v>
      </c>
      <c r="M123" s="83">
        <f>_xlfn.IFNA(INDEX('Shultis Faw'!$F$2:$F$26,MATCH($C123,'Shultis Faw'!$A$2:$A$26,1))+($C123-INDEX('Shultis Faw'!$A$2:$A$26,MATCH($C123,'Shultis Faw'!$A$2:$A$26,1)))*(INDEX('Shultis Faw'!$F$2:$F$26,MATCH($C123,'Shultis Faw'!$A$2:$A$26,1)+1)-INDEX('Shultis Faw'!$F$2:$F$26,MATCH($C123,'Shultis Faw'!$A$2:$A$26,1)))/(INDEX('Shultis Faw'!$A$2:$A$26,MATCH($C123,'Shultis Faw'!$A$2:$A$26,1)+1)-INDEX('Shultis Faw'!$A$2:$A$26,MATCH($C123,'Shultis Faw'!$A$2:$A$26,1))),$C123*'Shultis Faw'!$F$2/'Shultis Faw'!$A$2)</f>
        <v>14.2811979</v>
      </c>
      <c r="N123" s="83">
        <f>J123*(H123*'Externe blootstelling'!$D$23/2)^K123+L123*(TANH(((H123*'Externe blootstelling'!$D$23)/(2*M123))-2)-TANH(-2))/(1-TANH(-2))</f>
        <v>1.8557200024927791</v>
      </c>
      <c r="O123" s="83">
        <f>IF(N123=1,1+(I123-1)*H123*'Externe blootstelling'!$D$23/2,1+(I123-1)*(N123^(H123*'Externe blootstelling'!$D$23/2)-1)/(N123-1))</f>
        <v>6.1001698357625411</v>
      </c>
      <c r="P123" s="67">
        <f>G123*EXP(-H123*'Externe blootstelling'!$D$23/2)*O123</f>
        <v>4.3280915904151768E-4</v>
      </c>
      <c r="Q123" s="68"/>
    </row>
    <row r="124" spans="1:17" x14ac:dyDescent="0.2">
      <c r="A124" s="217"/>
      <c r="B124" s="64" t="s">
        <v>104</v>
      </c>
      <c r="C124" s="66">
        <v>0.28598000000000001</v>
      </c>
      <c r="D124" s="66">
        <f t="shared" si="8"/>
        <v>4.5756799999999994E-14</v>
      </c>
      <c r="E124" s="66">
        <v>1E-4</v>
      </c>
      <c r="F124" s="66">
        <f>_xlfn.IFNA(INDEX('hp (pSv cm2)'!$B$2:$B$52,MATCH($C124,'hp (pSv cm2)'!$A$2:$A$52,1))+($C124-INDEX('hp (pSv cm2)'!$A$2:$A$52,MATCH($C124,'hp (pSv cm2)'!$A$2:$A$52,1)))*(INDEX('hp (pSv cm2)'!$B$2:$B$52,MATCH($C124,'hp (pSv cm2)'!$A$2:$A$52,1)+1)-INDEX('hp (pSv cm2)'!$B$2:$B$52,MATCH($C124,'hp (pSv cm2)'!$A$2:$A$52,1)))/(INDEX('hp (pSv cm2)'!$A$2:$A$52,MATCH($C124,'hp (pSv cm2)'!$A$2:$A$52,1)+1)-INDEX('hp (pSv cm2)'!$A$2:$A$52,MATCH($C124,'hp (pSv cm2)'!$A$2:$A$52,1))),$C124*'hp (pSv cm2)'!$B$2/'hp (pSv cm2)'!$A$2)</f>
        <v>1.4384980000000001</v>
      </c>
      <c r="G124" s="67">
        <f t="shared" si="9"/>
        <v>1.4384980000000001E-4</v>
      </c>
      <c r="H124" s="83">
        <f>_xlfn.IFNA(0.997*(INDEX('Mass attenuation coefficients'!$B$2:$B$37,MATCH($C124,'Mass attenuation coefficients'!$A$2:$A$37,1))+($C124-INDEX('Mass attenuation coefficients'!$A$2:$A$37,MATCH($C124,'Mass attenuation coefficients'!$A$2:$A$37,1)))*(INDEX('Mass attenuation coefficients'!$B$2:$B$37,MATCH($C124,'Mass attenuation coefficients'!$A$2:$A$37,1)+1)-INDEX('Mass attenuation coefficients'!$B$2:$B$37,MATCH($C124,'Mass attenuation coefficients'!$A$2:$A$37,1)))/(INDEX('Mass attenuation coefficients'!$A$2:$A$37,MATCH($C124,'Mass attenuation coefficients'!$A$2:$A$37,1)+1)-INDEX('Mass attenuation coefficients'!$A$2:$A$37,MATCH($C124,'Mass attenuation coefficients'!$A$2:$A$37,1)))),0.997*$C124*'Mass attenuation coefficients'!$B$2/'Mass attenuation coefficients'!$A$2)</f>
        <v>0.12081614096</v>
      </c>
      <c r="I124" s="83">
        <f>_xlfn.IFNA(INDEX('Shultis Faw'!$C$2:$C$26,MATCH($C124,'Shultis Faw'!$A$2:$A$26,1))+($C124-INDEX('Shultis Faw'!$A$2:$A$26,MATCH($C124,'Shultis Faw'!$A$2:$A$26,1)))*(INDEX('Shultis Faw'!$C$2:$C$26,MATCH($C124,'Shultis Faw'!$A$2:$A$26,1)+1)-INDEX('Shultis Faw'!$C$2:$C$26,MATCH($C124,'Shultis Faw'!$A$2:$A$26,1)))/(INDEX('Shultis Faw'!$A$2:$A$26,MATCH($C124,'Shultis Faw'!$A$2:$A$26,1)+1)-INDEX('Shultis Faw'!$A$2:$A$26,MATCH($C124,'Shultis Faw'!$A$2:$A$26,1))),$C124*'Shultis Faw'!$C$2/'Shultis Faw'!$A$2)</f>
        <v>2.9982316</v>
      </c>
      <c r="J124" s="83">
        <f>_xlfn.IFNA(INDEX('Shultis Faw'!$D$2:$D$26,MATCH($C124,'Shultis Faw'!$A$2:$A$26,1))+($C124-INDEX('Shultis Faw'!$A$2:$A$26,MATCH($C124,'Shultis Faw'!$A$2:$A$26,1)))*(INDEX('Shultis Faw'!$D$2:$D$26,MATCH($C124,'Shultis Faw'!$A$2:$A$26,1)+1)-INDEX('Shultis Faw'!$D$2:$D$26,MATCH($C124,'Shultis Faw'!$A$2:$A$26,1)))/(INDEX('Shultis Faw'!$A$2:$A$26,MATCH($C124,'Shultis Faw'!$A$2:$A$26,1)+1)-INDEX('Shultis Faw'!$A$2:$A$26,MATCH($C124,'Shultis Faw'!$A$2:$A$26,1))),$C124*'Shultis Faw'!$D$2/'Shultis Faw'!$A$2)</f>
        <v>2.0405063999999999</v>
      </c>
      <c r="K124" s="83">
        <f>_xlfn.IFNA(INDEX('Shultis Faw'!$B$2:$B$26,MATCH($C124,'Shultis Faw'!$A$2:$A$26,1))+($C124-INDEX('Shultis Faw'!$A$2:$A$26,MATCH($C124,'Shultis Faw'!$A$2:$A$26,1)))*(INDEX('Shultis Faw'!$B$2:$B$26,MATCH($C124,'Shultis Faw'!$A$2:$A$26,1)+1)-INDEX('Shultis Faw'!$B$2:$B$26,MATCH($C124,'Shultis Faw'!$A$2:$A$26,1)))/(INDEX('Shultis Faw'!$A$2:$A$26,MATCH($C124,'Shultis Faw'!$A$2:$A$26,1)+1)-INDEX('Shultis Faw'!$A$2:$A$26,MATCH($C124,'Shultis Faw'!$A$2:$A$26,1))),$C124*'Shultis Faw'!$B$2/'Shultis Faw'!$A$2)</f>
        <v>-0.16568240000000001</v>
      </c>
      <c r="L124" s="83">
        <f>_xlfn.IFNA(INDEX('Shultis Faw'!$E$2:$E$26,MATCH($C124,'Shultis Faw'!$A$2:$A$26,1))+($C124-INDEX('Shultis Faw'!$A$2:$A$26,MATCH($C124,'Shultis Faw'!$A$2:$A$26,1)))*(INDEX('Shultis Faw'!$E$2:$E$26,MATCH($C124,'Shultis Faw'!$A$2:$A$26,1)+1)-INDEX('Shultis Faw'!$E$2:$E$26,MATCH($C124,'Shultis Faw'!$A$2:$A$26,1)))/(INDEX('Shultis Faw'!$A$2:$A$26,MATCH($C124,'Shultis Faw'!$A$2:$A$26,1)+1)-INDEX('Shultis Faw'!$A$2:$A$26,MATCH($C124,'Shultis Faw'!$A$2:$A$26,1))),$C124*'Shultis Faw'!$E$2/'Shultis Faw'!$A$2)</f>
        <v>6.716838E-2</v>
      </c>
      <c r="M124" s="83">
        <f>_xlfn.IFNA(INDEX('Shultis Faw'!$F$2:$F$26,MATCH($C124,'Shultis Faw'!$A$2:$A$26,1))+($C124-INDEX('Shultis Faw'!$A$2:$A$26,MATCH($C124,'Shultis Faw'!$A$2:$A$26,1)))*(INDEX('Shultis Faw'!$F$2:$F$26,MATCH($C124,'Shultis Faw'!$A$2:$A$26,1)+1)-INDEX('Shultis Faw'!$F$2:$F$26,MATCH($C124,'Shultis Faw'!$A$2:$A$26,1)))/(INDEX('Shultis Faw'!$A$2:$A$26,MATCH($C124,'Shultis Faw'!$A$2:$A$26,1)+1)-INDEX('Shultis Faw'!$A$2:$A$26,MATCH($C124,'Shultis Faw'!$A$2:$A$26,1))),$C124*'Shultis Faw'!$F$2/'Shultis Faw'!$A$2)</f>
        <v>14.250658000000001</v>
      </c>
      <c r="N124" s="83">
        <f>J124*(H124*'Externe blootstelling'!$D$23/2)^K124+L124*(TANH(((H124*'Externe blootstelling'!$D$23)/(2*M124))-2)-TANH(-2))/(1-TANH(-2))</f>
        <v>1.8494296693817307</v>
      </c>
      <c r="O124" s="83">
        <f>IF(N124=1,1+(I124-1)*H124*'Externe blootstelling'!$D$23/2,1+(I124-1)*(N124^(H124*'Externe blootstelling'!$D$23/2)-1)/(N124-1))</f>
        <v>5.8165113470842966</v>
      </c>
      <c r="P124" s="67">
        <f>G124*EXP(-H124*'Externe blootstelling'!$D$23/2)*O124</f>
        <v>1.366234009339002E-4</v>
      </c>
      <c r="Q124" s="68"/>
    </row>
    <row r="125" spans="1:17" x14ac:dyDescent="0.2">
      <c r="A125" s="217"/>
      <c r="B125" s="64" t="s">
        <v>104</v>
      </c>
      <c r="C125" s="66">
        <v>0.2959387</v>
      </c>
      <c r="D125" s="66">
        <f t="shared" si="8"/>
        <v>4.7350191999999998E-14</v>
      </c>
      <c r="E125" s="66">
        <v>4.4200000000000003E-3</v>
      </c>
      <c r="F125" s="66">
        <f>_xlfn.IFNA(INDEX('hp (pSv cm2)'!$B$2:$B$52,MATCH($C125,'hp (pSv cm2)'!$A$2:$A$52,1))+($C125-INDEX('hp (pSv cm2)'!$A$2:$A$52,MATCH($C125,'hp (pSv cm2)'!$A$2:$A$52,1)))*(INDEX('hp (pSv cm2)'!$B$2:$B$52,MATCH($C125,'hp (pSv cm2)'!$A$2:$A$52,1)+1)-INDEX('hp (pSv cm2)'!$B$2:$B$52,MATCH($C125,'hp (pSv cm2)'!$A$2:$A$52,1)))/(INDEX('hp (pSv cm2)'!$A$2:$A$52,MATCH($C125,'hp (pSv cm2)'!$A$2:$A$52,1)+1)-INDEX('hp (pSv cm2)'!$A$2:$A$52,MATCH($C125,'hp (pSv cm2)'!$A$2:$A$52,1))),$C125*'hp (pSv cm2)'!$B$2/'hp (pSv cm2)'!$A$2)</f>
        <v>1.48928737</v>
      </c>
      <c r="G125" s="67">
        <f t="shared" si="9"/>
        <v>6.5826501754000007E-3</v>
      </c>
      <c r="H125" s="83">
        <f>_xlfn.IFNA(0.997*(INDEX('Mass attenuation coefficients'!$B$2:$B$37,MATCH($C125,'Mass attenuation coefficients'!$A$2:$A$37,1))+($C125-INDEX('Mass attenuation coefficients'!$A$2:$A$37,MATCH($C125,'Mass attenuation coefficients'!$A$2:$A$37,1)))*(INDEX('Mass attenuation coefficients'!$B$2:$B$37,MATCH($C125,'Mass attenuation coefficients'!$A$2:$A$37,1)+1)-INDEX('Mass attenuation coefficients'!$B$2:$B$37,MATCH($C125,'Mass attenuation coefficients'!$A$2:$A$37,1)))/(INDEX('Mass attenuation coefficients'!$A$2:$A$37,MATCH($C125,'Mass attenuation coefficients'!$A$2:$A$37,1)+1)-INDEX('Mass attenuation coefficients'!$A$2:$A$37,MATCH($C125,'Mass attenuation coefficients'!$A$2:$A$37,1)))),0.997*$C125*'Mass attenuation coefficients'!$B$2/'Mass attenuation coefficients'!$A$2)</f>
        <v>0.11898923736239998</v>
      </c>
      <c r="I125" s="83">
        <f>_xlfn.IFNA(INDEX('Shultis Faw'!$C$2:$C$26,MATCH($C125,'Shultis Faw'!$A$2:$A$26,1))+($C125-INDEX('Shultis Faw'!$A$2:$A$26,MATCH($C125,'Shultis Faw'!$A$2:$A$26,1)))*(INDEX('Shultis Faw'!$C$2:$C$26,MATCH($C125,'Shultis Faw'!$A$2:$A$26,1)+1)-INDEX('Shultis Faw'!$C$2:$C$26,MATCH($C125,'Shultis Faw'!$A$2:$A$26,1)))/(INDEX('Shultis Faw'!$A$2:$A$26,MATCH($C125,'Shultis Faw'!$A$2:$A$26,1)+1)-INDEX('Shultis Faw'!$A$2:$A$26,MATCH($C125,'Shultis Faw'!$A$2:$A$26,1))),$C125*'Shultis Faw'!$C$2/'Shultis Faw'!$A$2)</f>
        <v>2.9426620539999999</v>
      </c>
      <c r="J125" s="83">
        <f>_xlfn.IFNA(INDEX('Shultis Faw'!$D$2:$D$26,MATCH($C125,'Shultis Faw'!$A$2:$A$26,1))+($C125-INDEX('Shultis Faw'!$A$2:$A$26,MATCH($C125,'Shultis Faw'!$A$2:$A$26,1)))*(INDEX('Shultis Faw'!$D$2:$D$26,MATCH($C125,'Shultis Faw'!$A$2:$A$26,1)+1)-INDEX('Shultis Faw'!$D$2:$D$26,MATCH($C125,'Shultis Faw'!$A$2:$A$26,1)))/(INDEX('Shultis Faw'!$A$2:$A$26,MATCH($C125,'Shultis Faw'!$A$2:$A$26,1)+1)-INDEX('Shultis Faw'!$A$2:$A$26,MATCH($C125,'Shultis Faw'!$A$2:$A$26,1))),$C125*'Shultis Faw'!$D$2/'Shultis Faw'!$A$2)</f>
        <v>2.0273609159999997</v>
      </c>
      <c r="K125" s="83">
        <f>_xlfn.IFNA(INDEX('Shultis Faw'!$B$2:$B$26,MATCH($C125,'Shultis Faw'!$A$2:$A$26,1))+($C125-INDEX('Shultis Faw'!$A$2:$A$26,MATCH($C125,'Shultis Faw'!$A$2:$A$26,1)))*(INDEX('Shultis Faw'!$B$2:$B$26,MATCH($C125,'Shultis Faw'!$A$2:$A$26,1)+1)-INDEX('Shultis Faw'!$B$2:$B$26,MATCH($C125,'Shultis Faw'!$A$2:$A$26,1)))/(INDEX('Shultis Faw'!$A$2:$A$26,MATCH($C125,'Shultis Faw'!$A$2:$A$26,1)+1)-INDEX('Shultis Faw'!$A$2:$A$26,MATCH($C125,'Shultis Faw'!$A$2:$A$26,1))),$C125*'Shultis Faw'!$B$2/'Shultis Faw'!$A$2)</f>
        <v>-0.164487356</v>
      </c>
      <c r="L125" s="83">
        <f>_xlfn.IFNA(INDEX('Shultis Faw'!$E$2:$E$26,MATCH($C125,'Shultis Faw'!$A$2:$A$26,1))+($C125-INDEX('Shultis Faw'!$A$2:$A$26,MATCH($C125,'Shultis Faw'!$A$2:$A$26,1)))*(INDEX('Shultis Faw'!$E$2:$E$26,MATCH($C125,'Shultis Faw'!$A$2:$A$26,1)+1)-INDEX('Shultis Faw'!$E$2:$E$26,MATCH($C125,'Shultis Faw'!$A$2:$A$26,1)))/(INDEX('Shultis Faw'!$A$2:$A$26,MATCH($C125,'Shultis Faw'!$A$2:$A$26,1)+1)-INDEX('Shultis Faw'!$A$2:$A$26,MATCH($C125,'Shultis Faw'!$A$2:$A$26,1))),$C125*'Shultis Faw'!$E$2/'Shultis Faw'!$A$2)</f>
        <v>6.59832947E-2</v>
      </c>
      <c r="M125" s="83">
        <f>_xlfn.IFNA(INDEX('Shultis Faw'!$F$2:$F$26,MATCH($C125,'Shultis Faw'!$A$2:$A$26,1))+($C125-INDEX('Shultis Faw'!$A$2:$A$26,MATCH($C125,'Shultis Faw'!$A$2:$A$26,1)))*(INDEX('Shultis Faw'!$F$2:$F$26,MATCH($C125,'Shultis Faw'!$A$2:$A$26,1)+1)-INDEX('Shultis Faw'!$F$2:$F$26,MATCH($C125,'Shultis Faw'!$A$2:$A$26,1)))/(INDEX('Shultis Faw'!$A$2:$A$26,MATCH($C125,'Shultis Faw'!$A$2:$A$26,1)+1)-INDEX('Shultis Faw'!$A$2:$A$26,MATCH($C125,'Shultis Faw'!$A$2:$A$26,1))),$C125*'Shultis Faw'!$F$2/'Shultis Faw'!$A$2)</f>
        <v>14.221777770000001</v>
      </c>
      <c r="N125" s="83">
        <f>J125*(H125*'Externe blootstelling'!$D$23/2)^K125+L125*(TANH(((H125*'Externe blootstelling'!$D$23)/(2*M125))-2)-TANH(-2))/(1-TANH(-2))</f>
        <v>1.8434255283459158</v>
      </c>
      <c r="O125" s="83">
        <f>IF(N125=1,1+(I125-1)*H125*'Externe blootstelling'!$D$23/2,1+(I125-1)*(N125^(H125*'Externe blootstelling'!$D$23/2)-1)/(N125-1))</f>
        <v>5.558678005411311</v>
      </c>
      <c r="P125" s="67">
        <f>G125*EXP(-H125*'Externe blootstelling'!$D$23/2)*O125</f>
        <v>6.1408254867185968E-3</v>
      </c>
      <c r="Q125" s="68"/>
    </row>
    <row r="126" spans="1:17" x14ac:dyDescent="0.2">
      <c r="A126" s="217"/>
      <c r="B126" s="64" t="s">
        <v>104</v>
      </c>
      <c r="C126" s="66">
        <v>0.31517399999999995</v>
      </c>
      <c r="D126" s="66">
        <f t="shared" si="8"/>
        <v>5.0427839999999991E-14</v>
      </c>
      <c r="E126" s="66">
        <v>4.9600000000000002E-4</v>
      </c>
      <c r="F126" s="66">
        <f>_xlfn.IFNA(INDEX('hp (pSv cm2)'!$B$2:$B$52,MATCH($C126,'hp (pSv cm2)'!$A$2:$A$52,1))+($C126-INDEX('hp (pSv cm2)'!$A$2:$A$52,MATCH($C126,'hp (pSv cm2)'!$A$2:$A$52,1)))*(INDEX('hp (pSv cm2)'!$B$2:$B$52,MATCH($C126,'hp (pSv cm2)'!$A$2:$A$52,1)+1)-INDEX('hp (pSv cm2)'!$B$2:$B$52,MATCH($C126,'hp (pSv cm2)'!$A$2:$A$52,1)))/(INDEX('hp (pSv cm2)'!$A$2:$A$52,MATCH($C126,'hp (pSv cm2)'!$A$2:$A$52,1)+1)-INDEX('hp (pSv cm2)'!$A$2:$A$52,MATCH($C126,'hp (pSv cm2)'!$A$2:$A$52,1))),$C126*'hp (pSv cm2)'!$B$2/'hp (pSv cm2)'!$A$2)</f>
        <v>1.5843525999999999</v>
      </c>
      <c r="G126" s="67">
        <f t="shared" si="9"/>
        <v>7.8583888959999997E-4</v>
      </c>
      <c r="H126" s="83">
        <f>_xlfn.IFNA(0.997*(INDEX('Mass attenuation coefficients'!$B$2:$B$37,MATCH($C126,'Mass attenuation coefficients'!$A$2:$A$37,1))+($C126-INDEX('Mass attenuation coefficients'!$A$2:$A$37,MATCH($C126,'Mass attenuation coefficients'!$A$2:$A$37,1)))*(INDEX('Mass attenuation coefficients'!$B$2:$B$37,MATCH($C126,'Mass attenuation coefficients'!$A$2:$A$37,1)+1)-INDEX('Mass attenuation coefficients'!$B$2:$B$37,MATCH($C126,'Mass attenuation coefficients'!$A$2:$A$37,1)))/(INDEX('Mass attenuation coefficients'!$A$2:$A$37,MATCH($C126,'Mass attenuation coefficients'!$A$2:$A$37,1)+1)-INDEX('Mass attenuation coefficients'!$A$2:$A$37,MATCH($C126,'Mass attenuation coefficients'!$A$2:$A$37,1)))),0.997*$C126*'Mass attenuation coefficients'!$B$2/'Mass attenuation coefficients'!$A$2)</f>
        <v>0.11635314025000001</v>
      </c>
      <c r="I126" s="83">
        <f>_xlfn.IFNA(INDEX('Shultis Faw'!$C$2:$C$26,MATCH($C126,'Shultis Faw'!$A$2:$A$26,1))+($C126-INDEX('Shultis Faw'!$A$2:$A$26,MATCH($C126,'Shultis Faw'!$A$2:$A$26,1)))*(INDEX('Shultis Faw'!$C$2:$C$26,MATCH($C126,'Shultis Faw'!$A$2:$A$26,1)+1)-INDEX('Shultis Faw'!$C$2:$C$26,MATCH($C126,'Shultis Faw'!$A$2:$A$26,1)))/(INDEX('Shultis Faw'!$A$2:$A$26,MATCH($C126,'Shultis Faw'!$A$2:$A$26,1)+1)-INDEX('Shultis Faw'!$A$2:$A$26,MATCH($C126,'Shultis Faw'!$A$2:$A$26,1))),$C126*'Shultis Faw'!$C$2/'Shultis Faw'!$A$2)</f>
        <v>2.8805475999999999</v>
      </c>
      <c r="J126" s="83">
        <f>_xlfn.IFNA(INDEX('Shultis Faw'!$D$2:$D$26,MATCH($C126,'Shultis Faw'!$A$2:$A$26,1))+($C126-INDEX('Shultis Faw'!$A$2:$A$26,MATCH($C126,'Shultis Faw'!$A$2:$A$26,1)))*(INDEX('Shultis Faw'!$D$2:$D$26,MATCH($C126,'Shultis Faw'!$A$2:$A$26,1)+1)-INDEX('Shultis Faw'!$D$2:$D$26,MATCH($C126,'Shultis Faw'!$A$2:$A$26,1)))/(INDEX('Shultis Faw'!$A$2:$A$26,MATCH($C126,'Shultis Faw'!$A$2:$A$26,1)+1)-INDEX('Shultis Faw'!$A$2:$A$26,MATCH($C126,'Shultis Faw'!$A$2:$A$26,1))),$C126*'Shultis Faw'!$D$2/'Shultis Faw'!$A$2)</f>
        <v>2.0007563999999998</v>
      </c>
      <c r="K126" s="83">
        <f>_xlfn.IFNA(INDEX('Shultis Faw'!$B$2:$B$26,MATCH($C126,'Shultis Faw'!$A$2:$A$26,1))+($C126-INDEX('Shultis Faw'!$A$2:$A$26,MATCH($C126,'Shultis Faw'!$A$2:$A$26,1)))*(INDEX('Shultis Faw'!$B$2:$B$26,MATCH($C126,'Shultis Faw'!$A$2:$A$26,1)+1)-INDEX('Shultis Faw'!$B$2:$B$26,MATCH($C126,'Shultis Faw'!$A$2:$A$26,1)))/(INDEX('Shultis Faw'!$A$2:$A$26,MATCH($C126,'Shultis Faw'!$A$2:$A$26,1)+1)-INDEX('Shultis Faw'!$A$2:$A$26,MATCH($C126,'Shultis Faw'!$A$2:$A$26,1))),$C126*'Shultis Faw'!$B$2/'Shultis Faw'!$A$2)</f>
        <v>-0.1617239</v>
      </c>
      <c r="L126" s="83">
        <f>_xlfn.IFNA(INDEX('Shultis Faw'!$E$2:$E$26,MATCH($C126,'Shultis Faw'!$A$2:$A$26,1))+($C126-INDEX('Shultis Faw'!$A$2:$A$26,MATCH($C126,'Shultis Faw'!$A$2:$A$26,1)))*(INDEX('Shultis Faw'!$E$2:$E$26,MATCH($C126,'Shultis Faw'!$A$2:$A$26,1)+1)-INDEX('Shultis Faw'!$E$2:$E$26,MATCH($C126,'Shultis Faw'!$A$2:$A$26,1)))/(INDEX('Shultis Faw'!$A$2:$A$26,MATCH($C126,'Shultis Faw'!$A$2:$A$26,1)+1)-INDEX('Shultis Faw'!$A$2:$A$26,MATCH($C126,'Shultis Faw'!$A$2:$A$26,1))),$C126*'Shultis Faw'!$E$2/'Shultis Faw'!$A$2)</f>
        <v>6.4589560000000004E-2</v>
      </c>
      <c r="M126" s="83">
        <f>_xlfn.IFNA(INDEX('Shultis Faw'!$F$2:$F$26,MATCH($C126,'Shultis Faw'!$A$2:$A$26,1))+($C126-INDEX('Shultis Faw'!$A$2:$A$26,MATCH($C126,'Shultis Faw'!$A$2:$A$26,1)))*(INDEX('Shultis Faw'!$F$2:$F$26,MATCH($C126,'Shultis Faw'!$A$2:$A$26,1)+1)-INDEX('Shultis Faw'!$F$2:$F$26,MATCH($C126,'Shultis Faw'!$A$2:$A$26,1)))/(INDEX('Shultis Faw'!$A$2:$A$26,MATCH($C126,'Shultis Faw'!$A$2:$A$26,1)+1)-INDEX('Shultis Faw'!$A$2:$A$26,MATCH($C126,'Shultis Faw'!$A$2:$A$26,1))),$C126*'Shultis Faw'!$F$2/'Shultis Faw'!$A$2)</f>
        <v>14.2145522</v>
      </c>
      <c r="N126" s="83">
        <f>J126*(H126*'Externe blootstelling'!$D$23/2)^K126+L126*(TANH(((H126*'Externe blootstelling'!$D$23)/(2*M126))-2)-TANH(-2))/(1-TANH(-2))</f>
        <v>1.8287509841213221</v>
      </c>
      <c r="O126" s="83">
        <f>IF(N126=1,1+(I126-1)*H126*'Externe blootstelling'!$D$23/2,1+(I126-1)*(N126^(H126*'Externe blootstelling'!$D$23/2)-1)/(N126-1))</f>
        <v>5.2381212850591661</v>
      </c>
      <c r="P126" s="67">
        <f>G126*EXP(-H126*'Externe blootstelling'!$D$23/2)*O126</f>
        <v>7.1868100414025139E-4</v>
      </c>
      <c r="Q126" s="68"/>
    </row>
    <row r="127" spans="1:17" x14ac:dyDescent="0.2">
      <c r="A127" s="217"/>
      <c r="B127" s="64" t="s">
        <v>104</v>
      </c>
      <c r="C127" s="66">
        <v>0.31619999999999998</v>
      </c>
      <c r="D127" s="66">
        <f t="shared" si="8"/>
        <v>5.0591999999999995E-14</v>
      </c>
      <c r="E127" s="66">
        <v>3.1000000000000001E-5</v>
      </c>
      <c r="F127" s="66">
        <f>_xlfn.IFNA(INDEX('hp (pSv cm2)'!$B$2:$B$52,MATCH($C127,'hp (pSv cm2)'!$A$2:$A$52,1))+($C127-INDEX('hp (pSv cm2)'!$A$2:$A$52,MATCH($C127,'hp (pSv cm2)'!$A$2:$A$52,1)))*(INDEX('hp (pSv cm2)'!$B$2:$B$52,MATCH($C127,'hp (pSv cm2)'!$A$2:$A$52,1)+1)-INDEX('hp (pSv cm2)'!$B$2:$B$52,MATCH($C127,'hp (pSv cm2)'!$A$2:$A$52,1)))/(INDEX('hp (pSv cm2)'!$A$2:$A$52,MATCH($C127,'hp (pSv cm2)'!$A$2:$A$52,1)+1)-INDEX('hp (pSv cm2)'!$A$2:$A$52,MATCH($C127,'hp (pSv cm2)'!$A$2:$A$52,1))),$C127*'hp (pSv cm2)'!$B$2/'hp (pSv cm2)'!$A$2)</f>
        <v>1.58938</v>
      </c>
      <c r="G127" s="67">
        <f t="shared" si="9"/>
        <v>4.9270780000000001E-5</v>
      </c>
      <c r="H127" s="83">
        <f>_xlfn.IFNA(0.997*(INDEX('Mass attenuation coefficients'!$B$2:$B$37,MATCH($C127,'Mass attenuation coefficients'!$A$2:$A$37,1))+($C127-INDEX('Mass attenuation coefficients'!$A$2:$A$37,MATCH($C127,'Mass attenuation coefficients'!$A$2:$A$37,1)))*(INDEX('Mass attenuation coefficients'!$B$2:$B$37,MATCH($C127,'Mass attenuation coefficients'!$A$2:$A$37,1)+1)-INDEX('Mass attenuation coefficients'!$B$2:$B$37,MATCH($C127,'Mass attenuation coefficients'!$A$2:$A$37,1)))/(INDEX('Mass attenuation coefficients'!$A$2:$A$37,MATCH($C127,'Mass attenuation coefficients'!$A$2:$A$37,1)+1)-INDEX('Mass attenuation coefficients'!$A$2:$A$37,MATCH($C127,'Mass attenuation coefficients'!$A$2:$A$37,1)))),0.997*$C127*'Mass attenuation coefficients'!$B$2/'Mass attenuation coefficients'!$A$2)</f>
        <v>0.116225275</v>
      </c>
      <c r="I127" s="83">
        <f>_xlfn.IFNA(INDEX('Shultis Faw'!$C$2:$C$26,MATCH($C127,'Shultis Faw'!$A$2:$A$26,1))+($C127-INDEX('Shultis Faw'!$A$2:$A$26,MATCH($C127,'Shultis Faw'!$A$2:$A$26,1)))*(INDEX('Shultis Faw'!$C$2:$C$26,MATCH($C127,'Shultis Faw'!$A$2:$A$26,1)+1)-INDEX('Shultis Faw'!$C$2:$C$26,MATCH($C127,'Shultis Faw'!$A$2:$A$26,1)))/(INDEX('Shultis Faw'!$A$2:$A$26,MATCH($C127,'Shultis Faw'!$A$2:$A$26,1)+1)-INDEX('Shultis Faw'!$A$2:$A$26,MATCH($C127,'Shultis Faw'!$A$2:$A$26,1))),$C127*'Shultis Faw'!$C$2/'Shultis Faw'!$A$2)</f>
        <v>2.8778800000000002</v>
      </c>
      <c r="J127" s="83">
        <f>_xlfn.IFNA(INDEX('Shultis Faw'!$D$2:$D$26,MATCH($C127,'Shultis Faw'!$A$2:$A$26,1))+($C127-INDEX('Shultis Faw'!$A$2:$A$26,MATCH($C127,'Shultis Faw'!$A$2:$A$26,1)))*(INDEX('Shultis Faw'!$D$2:$D$26,MATCH($C127,'Shultis Faw'!$A$2:$A$26,1)+1)-INDEX('Shultis Faw'!$D$2:$D$26,MATCH($C127,'Shultis Faw'!$A$2:$A$26,1)))/(INDEX('Shultis Faw'!$A$2:$A$26,MATCH($C127,'Shultis Faw'!$A$2:$A$26,1)+1)-INDEX('Shultis Faw'!$A$2:$A$26,MATCH($C127,'Shultis Faw'!$A$2:$A$26,1))),$C127*'Shultis Faw'!$D$2/'Shultis Faw'!$A$2)</f>
        <v>1.9993199999999998</v>
      </c>
      <c r="K127" s="83">
        <f>_xlfn.IFNA(INDEX('Shultis Faw'!$B$2:$B$26,MATCH($C127,'Shultis Faw'!$A$2:$A$26,1))+($C127-INDEX('Shultis Faw'!$A$2:$A$26,MATCH($C127,'Shultis Faw'!$A$2:$A$26,1)))*(INDEX('Shultis Faw'!$B$2:$B$26,MATCH($C127,'Shultis Faw'!$A$2:$A$26,1)+1)-INDEX('Shultis Faw'!$B$2:$B$26,MATCH($C127,'Shultis Faw'!$A$2:$A$26,1)))/(INDEX('Shultis Faw'!$A$2:$A$26,MATCH($C127,'Shultis Faw'!$A$2:$A$26,1)+1)-INDEX('Shultis Faw'!$A$2:$A$26,MATCH($C127,'Shultis Faw'!$A$2:$A$26,1))),$C127*'Shultis Faw'!$B$2/'Shultis Faw'!$A$2)</f>
        <v>-0.16157000000000002</v>
      </c>
      <c r="L127" s="83">
        <f>_xlfn.IFNA(INDEX('Shultis Faw'!$E$2:$E$26,MATCH($C127,'Shultis Faw'!$A$2:$A$26,1))+($C127-INDEX('Shultis Faw'!$A$2:$A$26,MATCH($C127,'Shultis Faw'!$A$2:$A$26,1)))*(INDEX('Shultis Faw'!$E$2:$E$26,MATCH($C127,'Shultis Faw'!$A$2:$A$26,1)+1)-INDEX('Shultis Faw'!$E$2:$E$26,MATCH($C127,'Shultis Faw'!$A$2:$A$26,1)))/(INDEX('Shultis Faw'!$A$2:$A$26,MATCH($C127,'Shultis Faw'!$A$2:$A$26,1)+1)-INDEX('Shultis Faw'!$A$2:$A$26,MATCH($C127,'Shultis Faw'!$A$2:$A$26,1))),$C127*'Shultis Faw'!$E$2/'Shultis Faw'!$A$2)</f>
        <v>6.4528000000000002E-2</v>
      </c>
      <c r="M127" s="83">
        <f>_xlfn.IFNA(INDEX('Shultis Faw'!$F$2:$F$26,MATCH($C127,'Shultis Faw'!$A$2:$A$26,1))+($C127-INDEX('Shultis Faw'!$A$2:$A$26,MATCH($C127,'Shultis Faw'!$A$2:$A$26,1)))*(INDEX('Shultis Faw'!$F$2:$F$26,MATCH($C127,'Shultis Faw'!$A$2:$A$26,1)+1)-INDEX('Shultis Faw'!$F$2:$F$26,MATCH($C127,'Shultis Faw'!$A$2:$A$26,1)))/(INDEX('Shultis Faw'!$A$2:$A$26,MATCH($C127,'Shultis Faw'!$A$2:$A$26,1)+1)-INDEX('Shultis Faw'!$A$2:$A$26,MATCH($C127,'Shultis Faw'!$A$2:$A$26,1))),$C127*'Shultis Faw'!$F$2/'Shultis Faw'!$A$2)</f>
        <v>14.214860000000002</v>
      </c>
      <c r="N127" s="83">
        <f>J127*(H127*'Externe blootstelling'!$D$23/2)^K127+L127*(TANH(((H127*'Externe blootstelling'!$D$23)/(2*M127))-2)-TANH(-2))/(1-TANH(-2))</f>
        <v>1.8279188524913403</v>
      </c>
      <c r="O127" s="83">
        <f>IF(N127=1,1+(I127-1)*H127*'Externe blootstelling'!$D$23/2,1+(I127-1)*(N127^(H127*'Externe blootstelling'!$D$23/2)-1)/(N127-1))</f>
        <v>5.2236836018678465</v>
      </c>
      <c r="P127" s="67">
        <f>G127*EXP(-H127*'Externe blootstelling'!$D$23/2)*O127</f>
        <v>4.5022164207014255E-5</v>
      </c>
      <c r="Q127" s="68"/>
    </row>
    <row r="128" spans="1:17" x14ac:dyDescent="0.2">
      <c r="A128" s="217"/>
      <c r="B128" s="64" t="s">
        <v>104</v>
      </c>
      <c r="C128" s="66">
        <v>0.32002999999999998</v>
      </c>
      <c r="D128" s="66">
        <f t="shared" si="8"/>
        <v>5.1204799999999999E-14</v>
      </c>
      <c r="E128" s="66">
        <v>1.7E-5</v>
      </c>
      <c r="F128" s="66">
        <f>_xlfn.IFNA(INDEX('hp (pSv cm2)'!$B$2:$B$52,MATCH($C128,'hp (pSv cm2)'!$A$2:$A$52,1))+($C128-INDEX('hp (pSv cm2)'!$A$2:$A$52,MATCH($C128,'hp (pSv cm2)'!$A$2:$A$52,1)))*(INDEX('hp (pSv cm2)'!$B$2:$B$52,MATCH($C128,'hp (pSv cm2)'!$A$2:$A$52,1)+1)-INDEX('hp (pSv cm2)'!$B$2:$B$52,MATCH($C128,'hp (pSv cm2)'!$A$2:$A$52,1)))/(INDEX('hp (pSv cm2)'!$A$2:$A$52,MATCH($C128,'hp (pSv cm2)'!$A$2:$A$52,1)+1)-INDEX('hp (pSv cm2)'!$A$2:$A$52,MATCH($C128,'hp (pSv cm2)'!$A$2:$A$52,1))),$C128*'hp (pSv cm2)'!$B$2/'hp (pSv cm2)'!$A$2)</f>
        <v>1.608147</v>
      </c>
      <c r="G128" s="67">
        <f t="shared" si="9"/>
        <v>2.7338499E-5</v>
      </c>
      <c r="H128" s="83">
        <f>_xlfn.IFNA(0.997*(INDEX('Mass attenuation coefficients'!$B$2:$B$37,MATCH($C128,'Mass attenuation coefficients'!$A$2:$A$37,1))+($C128-INDEX('Mass attenuation coefficients'!$A$2:$A$37,MATCH($C128,'Mass attenuation coefficients'!$A$2:$A$37,1)))*(INDEX('Mass attenuation coefficients'!$B$2:$B$37,MATCH($C128,'Mass attenuation coefficients'!$A$2:$A$37,1)+1)-INDEX('Mass attenuation coefficients'!$B$2:$B$37,MATCH($C128,'Mass attenuation coefficients'!$A$2:$A$37,1)))/(INDEX('Mass attenuation coefficients'!$A$2:$A$37,MATCH($C128,'Mass attenuation coefficients'!$A$2:$A$37,1)+1)-INDEX('Mass attenuation coefficients'!$A$2:$A$37,MATCH($C128,'Mass attenuation coefficients'!$A$2:$A$37,1)))),0.997*$C128*'Mass attenuation coefficients'!$B$2/'Mass attenuation coefficients'!$A$2)</f>
        <v>0.11574796125</v>
      </c>
      <c r="I128" s="83">
        <f>_xlfn.IFNA(INDEX('Shultis Faw'!$C$2:$C$26,MATCH($C128,'Shultis Faw'!$A$2:$A$26,1))+($C128-INDEX('Shultis Faw'!$A$2:$A$26,MATCH($C128,'Shultis Faw'!$A$2:$A$26,1)))*(INDEX('Shultis Faw'!$C$2:$C$26,MATCH($C128,'Shultis Faw'!$A$2:$A$26,1)+1)-INDEX('Shultis Faw'!$C$2:$C$26,MATCH($C128,'Shultis Faw'!$A$2:$A$26,1)))/(INDEX('Shultis Faw'!$A$2:$A$26,MATCH($C128,'Shultis Faw'!$A$2:$A$26,1)+1)-INDEX('Shultis Faw'!$A$2:$A$26,MATCH($C128,'Shultis Faw'!$A$2:$A$26,1))),$C128*'Shultis Faw'!$C$2/'Shultis Faw'!$A$2)</f>
        <v>2.8679220000000001</v>
      </c>
      <c r="J128" s="83">
        <f>_xlfn.IFNA(INDEX('Shultis Faw'!$D$2:$D$26,MATCH($C128,'Shultis Faw'!$A$2:$A$26,1))+($C128-INDEX('Shultis Faw'!$A$2:$A$26,MATCH($C128,'Shultis Faw'!$A$2:$A$26,1)))*(INDEX('Shultis Faw'!$D$2:$D$26,MATCH($C128,'Shultis Faw'!$A$2:$A$26,1)+1)-INDEX('Shultis Faw'!$D$2:$D$26,MATCH($C128,'Shultis Faw'!$A$2:$A$26,1)))/(INDEX('Shultis Faw'!$A$2:$A$26,MATCH($C128,'Shultis Faw'!$A$2:$A$26,1)+1)-INDEX('Shultis Faw'!$A$2:$A$26,MATCH($C128,'Shultis Faw'!$A$2:$A$26,1))),$C128*'Shultis Faw'!$D$2/'Shultis Faw'!$A$2)</f>
        <v>1.9939579999999999</v>
      </c>
      <c r="K128" s="83">
        <f>_xlfn.IFNA(INDEX('Shultis Faw'!$B$2:$B$26,MATCH($C128,'Shultis Faw'!$A$2:$A$26,1))+($C128-INDEX('Shultis Faw'!$A$2:$A$26,MATCH($C128,'Shultis Faw'!$A$2:$A$26,1)))*(INDEX('Shultis Faw'!$B$2:$B$26,MATCH($C128,'Shultis Faw'!$A$2:$A$26,1)+1)-INDEX('Shultis Faw'!$B$2:$B$26,MATCH($C128,'Shultis Faw'!$A$2:$A$26,1)))/(INDEX('Shultis Faw'!$A$2:$A$26,MATCH($C128,'Shultis Faw'!$A$2:$A$26,1)+1)-INDEX('Shultis Faw'!$A$2:$A$26,MATCH($C128,'Shultis Faw'!$A$2:$A$26,1))),$C128*'Shultis Faw'!$B$2/'Shultis Faw'!$A$2)</f>
        <v>-0.16099550000000001</v>
      </c>
      <c r="L128" s="83">
        <f>_xlfn.IFNA(INDEX('Shultis Faw'!$E$2:$E$26,MATCH($C128,'Shultis Faw'!$A$2:$A$26,1))+($C128-INDEX('Shultis Faw'!$A$2:$A$26,MATCH($C128,'Shultis Faw'!$A$2:$A$26,1)))*(INDEX('Shultis Faw'!$E$2:$E$26,MATCH($C128,'Shultis Faw'!$A$2:$A$26,1)+1)-INDEX('Shultis Faw'!$E$2:$E$26,MATCH($C128,'Shultis Faw'!$A$2:$A$26,1)))/(INDEX('Shultis Faw'!$A$2:$A$26,MATCH($C128,'Shultis Faw'!$A$2:$A$26,1)+1)-INDEX('Shultis Faw'!$A$2:$A$26,MATCH($C128,'Shultis Faw'!$A$2:$A$26,1))),$C128*'Shultis Faw'!$E$2/'Shultis Faw'!$A$2)</f>
        <v>6.42982E-2</v>
      </c>
      <c r="M128" s="83">
        <f>_xlfn.IFNA(INDEX('Shultis Faw'!$F$2:$F$26,MATCH($C128,'Shultis Faw'!$A$2:$A$26,1))+($C128-INDEX('Shultis Faw'!$A$2:$A$26,MATCH($C128,'Shultis Faw'!$A$2:$A$26,1)))*(INDEX('Shultis Faw'!$F$2:$F$26,MATCH($C128,'Shultis Faw'!$A$2:$A$26,1)+1)-INDEX('Shultis Faw'!$F$2:$F$26,MATCH($C128,'Shultis Faw'!$A$2:$A$26,1)))/(INDEX('Shultis Faw'!$A$2:$A$26,MATCH($C128,'Shultis Faw'!$A$2:$A$26,1)+1)-INDEX('Shultis Faw'!$A$2:$A$26,MATCH($C128,'Shultis Faw'!$A$2:$A$26,1))),$C128*'Shultis Faw'!$F$2/'Shultis Faw'!$A$2)</f>
        <v>14.216009000000001</v>
      </c>
      <c r="N128" s="83">
        <f>J128*(H128*'Externe blootstelling'!$D$23/2)^K128+L128*(TANH(((H128*'Externe blootstelling'!$D$23)/(2*M128))-2)-TANH(-2))/(1-TANH(-2))</f>
        <v>1.8248052604847282</v>
      </c>
      <c r="O128" s="83">
        <f>IF(N128=1,1+(I128-1)*H128*'Externe blootstelling'!$D$23/2,1+(I128-1)*(N128^(H128*'Externe blootstelling'!$D$23/2)-1)/(N128-1))</f>
        <v>5.1701392356527256</v>
      </c>
      <c r="P128" s="67">
        <f>G128*EXP(-H128*'Externe blootstelling'!$D$23/2)*O128</f>
        <v>2.4902697462080172E-5</v>
      </c>
      <c r="Q128" s="68"/>
    </row>
    <row r="129" spans="1:17" x14ac:dyDescent="0.2">
      <c r="A129" s="217"/>
      <c r="B129" s="64" t="s">
        <v>104</v>
      </c>
      <c r="C129" s="66">
        <v>0.32483000000000001</v>
      </c>
      <c r="D129" s="66">
        <f t="shared" si="8"/>
        <v>5.1972799999999999E-14</v>
      </c>
      <c r="E129" s="66">
        <v>7.3800000000000005E-4</v>
      </c>
      <c r="F129" s="66">
        <f>_xlfn.IFNA(INDEX('hp (pSv cm2)'!$B$2:$B$52,MATCH($C129,'hp (pSv cm2)'!$A$2:$A$52,1))+($C129-INDEX('hp (pSv cm2)'!$A$2:$A$52,MATCH($C129,'hp (pSv cm2)'!$A$2:$A$52,1)))*(INDEX('hp (pSv cm2)'!$B$2:$B$52,MATCH($C129,'hp (pSv cm2)'!$A$2:$A$52,1)+1)-INDEX('hp (pSv cm2)'!$B$2:$B$52,MATCH($C129,'hp (pSv cm2)'!$A$2:$A$52,1)))/(INDEX('hp (pSv cm2)'!$A$2:$A$52,MATCH($C129,'hp (pSv cm2)'!$A$2:$A$52,1)+1)-INDEX('hp (pSv cm2)'!$A$2:$A$52,MATCH($C129,'hp (pSv cm2)'!$A$2:$A$52,1))),$C129*'hp (pSv cm2)'!$B$2/'hp (pSv cm2)'!$A$2)</f>
        <v>1.631667</v>
      </c>
      <c r="G129" s="67">
        <f t="shared" si="9"/>
        <v>1.2041702460000002E-3</v>
      </c>
      <c r="H129" s="83">
        <f>_xlfn.IFNA(0.997*(INDEX('Mass attenuation coefficients'!$B$2:$B$37,MATCH($C129,'Mass attenuation coefficients'!$A$2:$A$37,1))+($C129-INDEX('Mass attenuation coefficients'!$A$2:$A$37,MATCH($C129,'Mass attenuation coefficients'!$A$2:$A$37,1)))*(INDEX('Mass attenuation coefficients'!$B$2:$B$37,MATCH($C129,'Mass attenuation coefficients'!$A$2:$A$37,1)+1)-INDEX('Mass attenuation coefficients'!$B$2:$B$37,MATCH($C129,'Mass attenuation coefficients'!$A$2:$A$37,1)))/(INDEX('Mass attenuation coefficients'!$A$2:$A$37,MATCH($C129,'Mass attenuation coefficients'!$A$2:$A$37,1)+1)-INDEX('Mass attenuation coefficients'!$A$2:$A$37,MATCH($C129,'Mass attenuation coefficients'!$A$2:$A$37,1)))),0.997*$C129*'Mass attenuation coefficients'!$B$2/'Mass attenuation coefficients'!$A$2)</f>
        <v>0.11514976125</v>
      </c>
      <c r="I129" s="83">
        <f>_xlfn.IFNA(INDEX('Shultis Faw'!$C$2:$C$26,MATCH($C129,'Shultis Faw'!$A$2:$A$26,1))+($C129-INDEX('Shultis Faw'!$A$2:$A$26,MATCH($C129,'Shultis Faw'!$A$2:$A$26,1)))*(INDEX('Shultis Faw'!$C$2:$C$26,MATCH($C129,'Shultis Faw'!$A$2:$A$26,1)+1)-INDEX('Shultis Faw'!$C$2:$C$26,MATCH($C129,'Shultis Faw'!$A$2:$A$26,1)))/(INDEX('Shultis Faw'!$A$2:$A$26,MATCH($C129,'Shultis Faw'!$A$2:$A$26,1)+1)-INDEX('Shultis Faw'!$A$2:$A$26,MATCH($C129,'Shultis Faw'!$A$2:$A$26,1))),$C129*'Shultis Faw'!$C$2/'Shultis Faw'!$A$2)</f>
        <v>2.855442</v>
      </c>
      <c r="J129" s="83">
        <f>_xlfn.IFNA(INDEX('Shultis Faw'!$D$2:$D$26,MATCH($C129,'Shultis Faw'!$A$2:$A$26,1))+($C129-INDEX('Shultis Faw'!$A$2:$A$26,MATCH($C129,'Shultis Faw'!$A$2:$A$26,1)))*(INDEX('Shultis Faw'!$D$2:$D$26,MATCH($C129,'Shultis Faw'!$A$2:$A$26,1)+1)-INDEX('Shultis Faw'!$D$2:$D$26,MATCH($C129,'Shultis Faw'!$A$2:$A$26,1)))/(INDEX('Shultis Faw'!$A$2:$A$26,MATCH($C129,'Shultis Faw'!$A$2:$A$26,1)+1)-INDEX('Shultis Faw'!$A$2:$A$26,MATCH($C129,'Shultis Faw'!$A$2:$A$26,1))),$C129*'Shultis Faw'!$D$2/'Shultis Faw'!$A$2)</f>
        <v>1.9872379999999998</v>
      </c>
      <c r="K129" s="83">
        <f>_xlfn.IFNA(INDEX('Shultis Faw'!$B$2:$B$26,MATCH($C129,'Shultis Faw'!$A$2:$A$26,1))+($C129-INDEX('Shultis Faw'!$A$2:$A$26,MATCH($C129,'Shultis Faw'!$A$2:$A$26,1)))*(INDEX('Shultis Faw'!$B$2:$B$26,MATCH($C129,'Shultis Faw'!$A$2:$A$26,1)+1)-INDEX('Shultis Faw'!$B$2:$B$26,MATCH($C129,'Shultis Faw'!$A$2:$A$26,1)))/(INDEX('Shultis Faw'!$A$2:$A$26,MATCH($C129,'Shultis Faw'!$A$2:$A$26,1)+1)-INDEX('Shultis Faw'!$A$2:$A$26,MATCH($C129,'Shultis Faw'!$A$2:$A$26,1))),$C129*'Shultis Faw'!$B$2/'Shultis Faw'!$A$2)</f>
        <v>-0.16027550000000002</v>
      </c>
      <c r="L129" s="83">
        <f>_xlfn.IFNA(INDEX('Shultis Faw'!$E$2:$E$26,MATCH($C129,'Shultis Faw'!$A$2:$A$26,1))+($C129-INDEX('Shultis Faw'!$A$2:$A$26,MATCH($C129,'Shultis Faw'!$A$2:$A$26,1)))*(INDEX('Shultis Faw'!$E$2:$E$26,MATCH($C129,'Shultis Faw'!$A$2:$A$26,1)+1)-INDEX('Shultis Faw'!$E$2:$E$26,MATCH($C129,'Shultis Faw'!$A$2:$A$26,1)))/(INDEX('Shultis Faw'!$A$2:$A$26,MATCH($C129,'Shultis Faw'!$A$2:$A$26,1)+1)-INDEX('Shultis Faw'!$A$2:$A$26,MATCH($C129,'Shultis Faw'!$A$2:$A$26,1))),$C129*'Shultis Faw'!$E$2/'Shultis Faw'!$A$2)</f>
        <v>6.4010200000000003E-2</v>
      </c>
      <c r="M129" s="83">
        <f>_xlfn.IFNA(INDEX('Shultis Faw'!$F$2:$F$26,MATCH($C129,'Shultis Faw'!$A$2:$A$26,1))+($C129-INDEX('Shultis Faw'!$A$2:$A$26,MATCH($C129,'Shultis Faw'!$A$2:$A$26,1)))*(INDEX('Shultis Faw'!$F$2:$F$26,MATCH($C129,'Shultis Faw'!$A$2:$A$26,1)+1)-INDEX('Shultis Faw'!$F$2:$F$26,MATCH($C129,'Shultis Faw'!$A$2:$A$26,1)))/(INDEX('Shultis Faw'!$A$2:$A$26,MATCH($C129,'Shultis Faw'!$A$2:$A$26,1)+1)-INDEX('Shultis Faw'!$A$2:$A$26,MATCH($C129,'Shultis Faw'!$A$2:$A$26,1))),$C129*'Shultis Faw'!$F$2/'Shultis Faw'!$A$2)</f>
        <v>14.217449</v>
      </c>
      <c r="N129" s="83">
        <f>J129*(H129*'Externe blootstelling'!$D$23/2)^K129+L129*(TANH(((H129*'Externe blootstelling'!$D$23)/(2*M129))-2)-TANH(-2))/(1-TANH(-2))</f>
        <v>1.8208868608459556</v>
      </c>
      <c r="O129" s="83">
        <f>IF(N129=1,1+(I129-1)*H129*'Externe blootstelling'!$D$23/2,1+(I129-1)*(N129^(H129*'Externe blootstelling'!$D$23/2)-1)/(N129-1))</f>
        <v>5.1038089440347898</v>
      </c>
      <c r="P129" s="67">
        <f>G129*EXP(-H129*'Externe blootstelling'!$D$23/2)*O129</f>
        <v>1.0925685928341441E-3</v>
      </c>
      <c r="Q129" s="68"/>
    </row>
    <row r="130" spans="1:17" x14ac:dyDescent="0.2">
      <c r="A130" s="217"/>
      <c r="B130" s="64" t="s">
        <v>104</v>
      </c>
      <c r="C130" s="66">
        <v>0.32942500000000002</v>
      </c>
      <c r="D130" s="66">
        <f t="shared" si="8"/>
        <v>5.2707999999999997E-14</v>
      </c>
      <c r="E130" s="66">
        <v>1.2900000000000001E-3</v>
      </c>
      <c r="F130" s="66">
        <f>_xlfn.IFNA(INDEX('hp (pSv cm2)'!$B$2:$B$52,MATCH($C130,'hp (pSv cm2)'!$A$2:$A$52,1))+($C130-INDEX('hp (pSv cm2)'!$A$2:$A$52,MATCH($C130,'hp (pSv cm2)'!$A$2:$A$52,1)))*(INDEX('hp (pSv cm2)'!$B$2:$B$52,MATCH($C130,'hp (pSv cm2)'!$A$2:$A$52,1)+1)-INDEX('hp (pSv cm2)'!$B$2:$B$52,MATCH($C130,'hp (pSv cm2)'!$A$2:$A$52,1)))/(INDEX('hp (pSv cm2)'!$A$2:$A$52,MATCH($C130,'hp (pSv cm2)'!$A$2:$A$52,1)+1)-INDEX('hp (pSv cm2)'!$A$2:$A$52,MATCH($C130,'hp (pSv cm2)'!$A$2:$A$52,1))),$C130*'hp (pSv cm2)'!$B$2/'hp (pSv cm2)'!$A$2)</f>
        <v>1.6541825000000001</v>
      </c>
      <c r="G130" s="67">
        <f t="shared" si="9"/>
        <v>2.1338954250000003E-3</v>
      </c>
      <c r="H130" s="83">
        <f>_xlfn.IFNA(0.997*(INDEX('Mass attenuation coefficients'!$B$2:$B$37,MATCH($C130,'Mass attenuation coefficients'!$A$2:$A$37,1))+($C130-INDEX('Mass attenuation coefficients'!$A$2:$A$37,MATCH($C130,'Mass attenuation coefficients'!$A$2:$A$37,1)))*(INDEX('Mass attenuation coefficients'!$B$2:$B$37,MATCH($C130,'Mass attenuation coefficients'!$A$2:$A$37,1)+1)-INDEX('Mass attenuation coefficients'!$B$2:$B$37,MATCH($C130,'Mass attenuation coefficients'!$A$2:$A$37,1)))/(INDEX('Mass attenuation coefficients'!$A$2:$A$37,MATCH($C130,'Mass attenuation coefficients'!$A$2:$A$37,1)+1)-INDEX('Mass attenuation coefficients'!$A$2:$A$37,MATCH($C130,'Mass attenuation coefficients'!$A$2:$A$37,1)))),0.997*$C130*'Mass attenuation coefficients'!$B$2/'Mass attenuation coefficients'!$A$2)</f>
        <v>0.11457710937499999</v>
      </c>
      <c r="I130" s="83">
        <f>_xlfn.IFNA(INDEX('Shultis Faw'!$C$2:$C$26,MATCH($C130,'Shultis Faw'!$A$2:$A$26,1))+($C130-INDEX('Shultis Faw'!$A$2:$A$26,MATCH($C130,'Shultis Faw'!$A$2:$A$26,1)))*(INDEX('Shultis Faw'!$C$2:$C$26,MATCH($C130,'Shultis Faw'!$A$2:$A$26,1)+1)-INDEX('Shultis Faw'!$C$2:$C$26,MATCH($C130,'Shultis Faw'!$A$2:$A$26,1)))/(INDEX('Shultis Faw'!$A$2:$A$26,MATCH($C130,'Shultis Faw'!$A$2:$A$26,1)+1)-INDEX('Shultis Faw'!$A$2:$A$26,MATCH($C130,'Shultis Faw'!$A$2:$A$26,1))),$C130*'Shultis Faw'!$C$2/'Shultis Faw'!$A$2)</f>
        <v>2.8434949999999999</v>
      </c>
      <c r="J130" s="83">
        <f>_xlfn.IFNA(INDEX('Shultis Faw'!$D$2:$D$26,MATCH($C130,'Shultis Faw'!$A$2:$A$26,1))+($C130-INDEX('Shultis Faw'!$A$2:$A$26,MATCH($C130,'Shultis Faw'!$A$2:$A$26,1)))*(INDEX('Shultis Faw'!$D$2:$D$26,MATCH($C130,'Shultis Faw'!$A$2:$A$26,1)+1)-INDEX('Shultis Faw'!$D$2:$D$26,MATCH($C130,'Shultis Faw'!$A$2:$A$26,1)))/(INDEX('Shultis Faw'!$A$2:$A$26,MATCH($C130,'Shultis Faw'!$A$2:$A$26,1)+1)-INDEX('Shultis Faw'!$A$2:$A$26,MATCH($C130,'Shultis Faw'!$A$2:$A$26,1))),$C130*'Shultis Faw'!$D$2/'Shultis Faw'!$A$2)</f>
        <v>1.9808049999999997</v>
      </c>
      <c r="K130" s="83">
        <f>_xlfn.IFNA(INDEX('Shultis Faw'!$B$2:$B$26,MATCH($C130,'Shultis Faw'!$A$2:$A$26,1))+($C130-INDEX('Shultis Faw'!$A$2:$A$26,MATCH($C130,'Shultis Faw'!$A$2:$A$26,1)))*(INDEX('Shultis Faw'!$B$2:$B$26,MATCH($C130,'Shultis Faw'!$A$2:$A$26,1)+1)-INDEX('Shultis Faw'!$B$2:$B$26,MATCH($C130,'Shultis Faw'!$A$2:$A$26,1)))/(INDEX('Shultis Faw'!$A$2:$A$26,MATCH($C130,'Shultis Faw'!$A$2:$A$26,1)+1)-INDEX('Shultis Faw'!$A$2:$A$26,MATCH($C130,'Shultis Faw'!$A$2:$A$26,1))),$C130*'Shultis Faw'!$B$2/'Shultis Faw'!$A$2)</f>
        <v>-0.15958624999999999</v>
      </c>
      <c r="L130" s="83">
        <f>_xlfn.IFNA(INDEX('Shultis Faw'!$E$2:$E$26,MATCH($C130,'Shultis Faw'!$A$2:$A$26,1))+($C130-INDEX('Shultis Faw'!$A$2:$A$26,MATCH($C130,'Shultis Faw'!$A$2:$A$26,1)))*(INDEX('Shultis Faw'!$E$2:$E$26,MATCH($C130,'Shultis Faw'!$A$2:$A$26,1)+1)-INDEX('Shultis Faw'!$E$2:$E$26,MATCH($C130,'Shultis Faw'!$A$2:$A$26,1)))/(INDEX('Shultis Faw'!$A$2:$A$26,MATCH($C130,'Shultis Faw'!$A$2:$A$26,1)+1)-INDEX('Shultis Faw'!$A$2:$A$26,MATCH($C130,'Shultis Faw'!$A$2:$A$26,1))),$C130*'Shultis Faw'!$E$2/'Shultis Faw'!$A$2)</f>
        <v>6.3734499999999999E-2</v>
      </c>
      <c r="M130" s="83">
        <f>_xlfn.IFNA(INDEX('Shultis Faw'!$F$2:$F$26,MATCH($C130,'Shultis Faw'!$A$2:$A$26,1))+($C130-INDEX('Shultis Faw'!$A$2:$A$26,MATCH($C130,'Shultis Faw'!$A$2:$A$26,1)))*(INDEX('Shultis Faw'!$F$2:$F$26,MATCH($C130,'Shultis Faw'!$A$2:$A$26,1)+1)-INDEX('Shultis Faw'!$F$2:$F$26,MATCH($C130,'Shultis Faw'!$A$2:$A$26,1)))/(INDEX('Shultis Faw'!$A$2:$A$26,MATCH($C130,'Shultis Faw'!$A$2:$A$26,1)+1)-INDEX('Shultis Faw'!$A$2:$A$26,MATCH($C130,'Shultis Faw'!$A$2:$A$26,1))),$C130*'Shultis Faw'!$F$2/'Shultis Faw'!$A$2)</f>
        <v>14.218827500000002</v>
      </c>
      <c r="N130" s="83">
        <f>J130*(H130*'Externe blootstelling'!$D$23/2)^K130+L130*(TANH(((H130*'Externe blootstelling'!$D$23)/(2*M130))-2)-TANH(-2))/(1-TANH(-2))</f>
        <v>1.8171188668076013</v>
      </c>
      <c r="O130" s="83">
        <f>IF(N130=1,1+(I130-1)*H130*'Externe blootstelling'!$D$23/2,1+(I130-1)*(N130^(H130*'Externe blootstelling'!$D$23/2)-1)/(N130-1))</f>
        <v>5.0411103669277342</v>
      </c>
      <c r="P130" s="67">
        <f>G130*EXP(-H130*'Externe blootstelling'!$D$23/2)*O130</f>
        <v>1.9288401728249972E-3</v>
      </c>
      <c r="Q130" s="68"/>
    </row>
    <row r="131" spans="1:17" x14ac:dyDescent="0.2">
      <c r="A131" s="217"/>
      <c r="B131" s="64" t="s">
        <v>104</v>
      </c>
      <c r="C131" s="66">
        <v>0.33054</v>
      </c>
      <c r="D131" s="66">
        <f t="shared" si="8"/>
        <v>5.2886399999999994E-14</v>
      </c>
      <c r="E131" s="66">
        <v>6.0000000000000002E-5</v>
      </c>
      <c r="F131" s="66">
        <f>_xlfn.IFNA(INDEX('hp (pSv cm2)'!$B$2:$B$52,MATCH($C131,'hp (pSv cm2)'!$A$2:$A$52,1))+($C131-INDEX('hp (pSv cm2)'!$A$2:$A$52,MATCH($C131,'hp (pSv cm2)'!$A$2:$A$52,1)))*(INDEX('hp (pSv cm2)'!$B$2:$B$52,MATCH($C131,'hp (pSv cm2)'!$A$2:$A$52,1)+1)-INDEX('hp (pSv cm2)'!$B$2:$B$52,MATCH($C131,'hp (pSv cm2)'!$A$2:$A$52,1)))/(INDEX('hp (pSv cm2)'!$A$2:$A$52,MATCH($C131,'hp (pSv cm2)'!$A$2:$A$52,1)+1)-INDEX('hp (pSv cm2)'!$A$2:$A$52,MATCH($C131,'hp (pSv cm2)'!$A$2:$A$52,1))),$C131*'hp (pSv cm2)'!$B$2/'hp (pSv cm2)'!$A$2)</f>
        <v>1.659646</v>
      </c>
      <c r="G131" s="67">
        <f t="shared" si="9"/>
        <v>9.957876E-5</v>
      </c>
      <c r="H131" s="83">
        <f>_xlfn.IFNA(0.997*(INDEX('Mass attenuation coefficients'!$B$2:$B$37,MATCH($C131,'Mass attenuation coefficients'!$A$2:$A$37,1))+($C131-INDEX('Mass attenuation coefficients'!$A$2:$A$37,MATCH($C131,'Mass attenuation coefficients'!$A$2:$A$37,1)))*(INDEX('Mass attenuation coefficients'!$B$2:$B$37,MATCH($C131,'Mass attenuation coefficients'!$A$2:$A$37,1)+1)-INDEX('Mass attenuation coefficients'!$B$2:$B$37,MATCH($C131,'Mass attenuation coefficients'!$A$2:$A$37,1)))/(INDEX('Mass attenuation coefficients'!$A$2:$A$37,MATCH($C131,'Mass attenuation coefficients'!$A$2:$A$37,1)+1)-INDEX('Mass attenuation coefficients'!$A$2:$A$37,MATCH($C131,'Mass attenuation coefficients'!$A$2:$A$37,1)))),0.997*$C131*'Mass attenuation coefficients'!$B$2/'Mass attenuation coefficients'!$A$2)</f>
        <v>0.1144381525</v>
      </c>
      <c r="I131" s="83">
        <f>_xlfn.IFNA(INDEX('Shultis Faw'!$C$2:$C$26,MATCH($C131,'Shultis Faw'!$A$2:$A$26,1))+($C131-INDEX('Shultis Faw'!$A$2:$A$26,MATCH($C131,'Shultis Faw'!$A$2:$A$26,1)))*(INDEX('Shultis Faw'!$C$2:$C$26,MATCH($C131,'Shultis Faw'!$A$2:$A$26,1)+1)-INDEX('Shultis Faw'!$C$2:$C$26,MATCH($C131,'Shultis Faw'!$A$2:$A$26,1)))/(INDEX('Shultis Faw'!$A$2:$A$26,MATCH($C131,'Shultis Faw'!$A$2:$A$26,1)+1)-INDEX('Shultis Faw'!$A$2:$A$26,MATCH($C131,'Shultis Faw'!$A$2:$A$26,1))),$C131*'Shultis Faw'!$C$2/'Shultis Faw'!$A$2)</f>
        <v>2.8405960000000001</v>
      </c>
      <c r="J131" s="83">
        <f>_xlfn.IFNA(INDEX('Shultis Faw'!$D$2:$D$26,MATCH($C131,'Shultis Faw'!$A$2:$A$26,1))+($C131-INDEX('Shultis Faw'!$A$2:$A$26,MATCH($C131,'Shultis Faw'!$A$2:$A$26,1)))*(INDEX('Shultis Faw'!$D$2:$D$26,MATCH($C131,'Shultis Faw'!$A$2:$A$26,1)+1)-INDEX('Shultis Faw'!$D$2:$D$26,MATCH($C131,'Shultis Faw'!$A$2:$A$26,1)))/(INDEX('Shultis Faw'!$A$2:$A$26,MATCH($C131,'Shultis Faw'!$A$2:$A$26,1)+1)-INDEX('Shultis Faw'!$A$2:$A$26,MATCH($C131,'Shultis Faw'!$A$2:$A$26,1))),$C131*'Shultis Faw'!$D$2/'Shultis Faw'!$A$2)</f>
        <v>1.9792439999999998</v>
      </c>
      <c r="K131" s="83">
        <f>_xlfn.IFNA(INDEX('Shultis Faw'!$B$2:$B$26,MATCH($C131,'Shultis Faw'!$A$2:$A$26,1))+($C131-INDEX('Shultis Faw'!$A$2:$A$26,MATCH($C131,'Shultis Faw'!$A$2:$A$26,1)))*(INDEX('Shultis Faw'!$B$2:$B$26,MATCH($C131,'Shultis Faw'!$A$2:$A$26,1)+1)-INDEX('Shultis Faw'!$B$2:$B$26,MATCH($C131,'Shultis Faw'!$A$2:$A$26,1)))/(INDEX('Shultis Faw'!$A$2:$A$26,MATCH($C131,'Shultis Faw'!$A$2:$A$26,1)+1)-INDEX('Shultis Faw'!$A$2:$A$26,MATCH($C131,'Shultis Faw'!$A$2:$A$26,1))),$C131*'Shultis Faw'!$B$2/'Shultis Faw'!$A$2)</f>
        <v>-0.15941900000000001</v>
      </c>
      <c r="L131" s="83">
        <f>_xlfn.IFNA(INDEX('Shultis Faw'!$E$2:$E$26,MATCH($C131,'Shultis Faw'!$A$2:$A$26,1))+($C131-INDEX('Shultis Faw'!$A$2:$A$26,MATCH($C131,'Shultis Faw'!$A$2:$A$26,1)))*(INDEX('Shultis Faw'!$E$2:$E$26,MATCH($C131,'Shultis Faw'!$A$2:$A$26,1)+1)-INDEX('Shultis Faw'!$E$2:$E$26,MATCH($C131,'Shultis Faw'!$A$2:$A$26,1)))/(INDEX('Shultis Faw'!$A$2:$A$26,MATCH($C131,'Shultis Faw'!$A$2:$A$26,1)+1)-INDEX('Shultis Faw'!$A$2:$A$26,MATCH($C131,'Shultis Faw'!$A$2:$A$26,1))),$C131*'Shultis Faw'!$E$2/'Shultis Faw'!$A$2)</f>
        <v>6.3667600000000005E-2</v>
      </c>
      <c r="M131" s="83">
        <f>_xlfn.IFNA(INDEX('Shultis Faw'!$F$2:$F$26,MATCH($C131,'Shultis Faw'!$A$2:$A$26,1))+($C131-INDEX('Shultis Faw'!$A$2:$A$26,MATCH($C131,'Shultis Faw'!$A$2:$A$26,1)))*(INDEX('Shultis Faw'!$F$2:$F$26,MATCH($C131,'Shultis Faw'!$A$2:$A$26,1)+1)-INDEX('Shultis Faw'!$F$2:$F$26,MATCH($C131,'Shultis Faw'!$A$2:$A$26,1)))/(INDEX('Shultis Faw'!$A$2:$A$26,MATCH($C131,'Shultis Faw'!$A$2:$A$26,1)+1)-INDEX('Shultis Faw'!$A$2:$A$26,MATCH($C131,'Shultis Faw'!$A$2:$A$26,1))),$C131*'Shultis Faw'!$F$2/'Shultis Faw'!$A$2)</f>
        <v>14.219162000000001</v>
      </c>
      <c r="N131" s="83">
        <f>J131*(H131*'Externe blootstelling'!$D$23/2)^K131+L131*(TANH(((H131*'Externe blootstelling'!$D$23)/(2*M131))-2)-TANH(-2))/(1-TANH(-2))</f>
        <v>1.816202044138818</v>
      </c>
      <c r="O131" s="83">
        <f>IF(N131=1,1+(I131-1)*H131*'Externe blootstelling'!$D$23/2,1+(I131-1)*(N131^(H131*'Externe blootstelling'!$D$23/2)-1)/(N131-1))</f>
        <v>5.0260130404071601</v>
      </c>
      <c r="P131" s="67">
        <f>G131*EXP(-H131*'Externe blootstelling'!$D$23/2)*O131</f>
        <v>8.9927486052602621E-5</v>
      </c>
      <c r="Q131" s="68"/>
    </row>
    <row r="132" spans="1:17" x14ac:dyDescent="0.2">
      <c r="A132" s="217"/>
      <c r="B132" s="64" t="s">
        <v>104</v>
      </c>
      <c r="C132" s="66">
        <v>0.34039999999999998</v>
      </c>
      <c r="D132" s="66">
        <f t="shared" ref="D132:D163" si="10">C132*1000000*1.6E-19</f>
        <v>5.4463999999999995E-14</v>
      </c>
      <c r="E132" s="66">
        <v>3.1E-4</v>
      </c>
      <c r="F132" s="66">
        <f>_xlfn.IFNA(INDEX('hp (pSv cm2)'!$B$2:$B$52,MATCH($C132,'hp (pSv cm2)'!$A$2:$A$52,1))+($C132-INDEX('hp (pSv cm2)'!$A$2:$A$52,MATCH($C132,'hp (pSv cm2)'!$A$2:$A$52,1)))*(INDEX('hp (pSv cm2)'!$B$2:$B$52,MATCH($C132,'hp (pSv cm2)'!$A$2:$A$52,1)+1)-INDEX('hp (pSv cm2)'!$B$2:$B$52,MATCH($C132,'hp (pSv cm2)'!$A$2:$A$52,1)))/(INDEX('hp (pSv cm2)'!$A$2:$A$52,MATCH($C132,'hp (pSv cm2)'!$A$2:$A$52,1)+1)-INDEX('hp (pSv cm2)'!$A$2:$A$52,MATCH($C132,'hp (pSv cm2)'!$A$2:$A$52,1))),$C132*'hp (pSv cm2)'!$B$2/'hp (pSv cm2)'!$A$2)</f>
        <v>1.7079599999999999</v>
      </c>
      <c r="G132" s="67">
        <f t="shared" ref="G132:G163" si="11">F132*E132</f>
        <v>5.2946759999999992E-4</v>
      </c>
      <c r="H132" s="83">
        <f>_xlfn.IFNA(0.997*(INDEX('Mass attenuation coefficients'!$B$2:$B$37,MATCH($C132,'Mass attenuation coefficients'!$A$2:$A$37,1))+($C132-INDEX('Mass attenuation coefficients'!$A$2:$A$37,MATCH($C132,'Mass attenuation coefficients'!$A$2:$A$37,1)))*(INDEX('Mass attenuation coefficients'!$B$2:$B$37,MATCH($C132,'Mass attenuation coefficients'!$A$2:$A$37,1)+1)-INDEX('Mass attenuation coefficients'!$B$2:$B$37,MATCH($C132,'Mass attenuation coefficients'!$A$2:$A$37,1)))/(INDEX('Mass attenuation coefficients'!$A$2:$A$37,MATCH($C132,'Mass attenuation coefficients'!$A$2:$A$37,1)+1)-INDEX('Mass attenuation coefficients'!$A$2:$A$37,MATCH($C132,'Mass attenuation coefficients'!$A$2:$A$37,1)))),0.997*$C132*'Mass attenuation coefficients'!$B$2/'Mass attenuation coefficients'!$A$2)</f>
        <v>0.11320935</v>
      </c>
      <c r="I132" s="83">
        <f>_xlfn.IFNA(INDEX('Shultis Faw'!$C$2:$C$26,MATCH($C132,'Shultis Faw'!$A$2:$A$26,1))+($C132-INDEX('Shultis Faw'!$A$2:$A$26,MATCH($C132,'Shultis Faw'!$A$2:$A$26,1)))*(INDEX('Shultis Faw'!$C$2:$C$26,MATCH($C132,'Shultis Faw'!$A$2:$A$26,1)+1)-INDEX('Shultis Faw'!$C$2:$C$26,MATCH($C132,'Shultis Faw'!$A$2:$A$26,1)))/(INDEX('Shultis Faw'!$A$2:$A$26,MATCH($C132,'Shultis Faw'!$A$2:$A$26,1)+1)-INDEX('Shultis Faw'!$A$2:$A$26,MATCH($C132,'Shultis Faw'!$A$2:$A$26,1))),$C132*'Shultis Faw'!$C$2/'Shultis Faw'!$A$2)</f>
        <v>2.8149600000000001</v>
      </c>
      <c r="J132" s="83">
        <f>_xlfn.IFNA(INDEX('Shultis Faw'!$D$2:$D$26,MATCH($C132,'Shultis Faw'!$A$2:$A$26,1))+($C132-INDEX('Shultis Faw'!$A$2:$A$26,MATCH($C132,'Shultis Faw'!$A$2:$A$26,1)))*(INDEX('Shultis Faw'!$D$2:$D$26,MATCH($C132,'Shultis Faw'!$A$2:$A$26,1)+1)-INDEX('Shultis Faw'!$D$2:$D$26,MATCH($C132,'Shultis Faw'!$A$2:$A$26,1)))/(INDEX('Shultis Faw'!$A$2:$A$26,MATCH($C132,'Shultis Faw'!$A$2:$A$26,1)+1)-INDEX('Shultis Faw'!$A$2:$A$26,MATCH($C132,'Shultis Faw'!$A$2:$A$26,1))),$C132*'Shultis Faw'!$D$2/'Shultis Faw'!$A$2)</f>
        <v>1.9654399999999999</v>
      </c>
      <c r="K132" s="83">
        <f>_xlfn.IFNA(INDEX('Shultis Faw'!$B$2:$B$26,MATCH($C132,'Shultis Faw'!$A$2:$A$26,1))+($C132-INDEX('Shultis Faw'!$A$2:$A$26,MATCH($C132,'Shultis Faw'!$A$2:$A$26,1)))*(INDEX('Shultis Faw'!$B$2:$B$26,MATCH($C132,'Shultis Faw'!$A$2:$A$26,1)+1)-INDEX('Shultis Faw'!$B$2:$B$26,MATCH($C132,'Shultis Faw'!$A$2:$A$26,1)))/(INDEX('Shultis Faw'!$A$2:$A$26,MATCH($C132,'Shultis Faw'!$A$2:$A$26,1)+1)-INDEX('Shultis Faw'!$A$2:$A$26,MATCH($C132,'Shultis Faw'!$A$2:$A$26,1))),$C132*'Shultis Faw'!$B$2/'Shultis Faw'!$A$2)</f>
        <v>-0.15794</v>
      </c>
      <c r="L132" s="83">
        <f>_xlfn.IFNA(INDEX('Shultis Faw'!$E$2:$E$26,MATCH($C132,'Shultis Faw'!$A$2:$A$26,1))+($C132-INDEX('Shultis Faw'!$A$2:$A$26,MATCH($C132,'Shultis Faw'!$A$2:$A$26,1)))*(INDEX('Shultis Faw'!$E$2:$E$26,MATCH($C132,'Shultis Faw'!$A$2:$A$26,1)+1)-INDEX('Shultis Faw'!$E$2:$E$26,MATCH($C132,'Shultis Faw'!$A$2:$A$26,1)))/(INDEX('Shultis Faw'!$A$2:$A$26,MATCH($C132,'Shultis Faw'!$A$2:$A$26,1)+1)-INDEX('Shultis Faw'!$A$2:$A$26,MATCH($C132,'Shultis Faw'!$A$2:$A$26,1))),$C132*'Shultis Faw'!$E$2/'Shultis Faw'!$A$2)</f>
        <v>6.3076000000000007E-2</v>
      </c>
      <c r="M132" s="83">
        <f>_xlfn.IFNA(INDEX('Shultis Faw'!$F$2:$F$26,MATCH($C132,'Shultis Faw'!$A$2:$A$26,1))+($C132-INDEX('Shultis Faw'!$A$2:$A$26,MATCH($C132,'Shultis Faw'!$A$2:$A$26,1)))*(INDEX('Shultis Faw'!$F$2:$F$26,MATCH($C132,'Shultis Faw'!$A$2:$A$26,1)+1)-INDEX('Shultis Faw'!$F$2:$F$26,MATCH($C132,'Shultis Faw'!$A$2:$A$26,1)))/(INDEX('Shultis Faw'!$A$2:$A$26,MATCH($C132,'Shultis Faw'!$A$2:$A$26,1)+1)-INDEX('Shultis Faw'!$A$2:$A$26,MATCH($C132,'Shultis Faw'!$A$2:$A$26,1))),$C132*'Shultis Faw'!$F$2/'Shultis Faw'!$A$2)</f>
        <v>14.22212</v>
      </c>
      <c r="N132" s="83">
        <f>J132*(H132*'Externe blootstelling'!$D$23/2)^K132+L132*(TANH(((H132*'Externe blootstelling'!$D$23)/(2*M132))-2)-TANH(-2))/(1-TANH(-2))</f>
        <v>1.8080520176949819</v>
      </c>
      <c r="O132" s="83">
        <f>IF(N132=1,1+(I132-1)*H132*'Externe blootstelling'!$D$23/2,1+(I132-1)*(N132^(H132*'Externe blootstelling'!$D$23/2)-1)/(N132-1))</f>
        <v>4.8944666565566379</v>
      </c>
      <c r="P132" s="67">
        <f>G132*EXP(-H132*'Externe blootstelling'!$D$23/2)*O132</f>
        <v>4.7429857888038894E-4</v>
      </c>
      <c r="Q132" s="68"/>
    </row>
    <row r="133" spans="1:17" x14ac:dyDescent="0.2">
      <c r="A133" s="217"/>
      <c r="B133" s="64" t="s">
        <v>104</v>
      </c>
      <c r="C133" s="66">
        <v>0.34427849999999999</v>
      </c>
      <c r="D133" s="66">
        <f t="shared" si="10"/>
        <v>5.5084559999999997E-14</v>
      </c>
      <c r="E133" s="66">
        <v>0.26590000000000003</v>
      </c>
      <c r="F133" s="66">
        <f>_xlfn.IFNA(INDEX('hp (pSv cm2)'!$B$2:$B$52,MATCH($C133,'hp (pSv cm2)'!$A$2:$A$52,1))+($C133-INDEX('hp (pSv cm2)'!$A$2:$A$52,MATCH($C133,'hp (pSv cm2)'!$A$2:$A$52,1)))*(INDEX('hp (pSv cm2)'!$B$2:$B$52,MATCH($C133,'hp (pSv cm2)'!$A$2:$A$52,1)+1)-INDEX('hp (pSv cm2)'!$B$2:$B$52,MATCH($C133,'hp (pSv cm2)'!$A$2:$A$52,1)))/(INDEX('hp (pSv cm2)'!$A$2:$A$52,MATCH($C133,'hp (pSv cm2)'!$A$2:$A$52,1)+1)-INDEX('hp (pSv cm2)'!$A$2:$A$52,MATCH($C133,'hp (pSv cm2)'!$A$2:$A$52,1))),$C133*'hp (pSv cm2)'!$B$2/'hp (pSv cm2)'!$A$2)</f>
        <v>1.72696465</v>
      </c>
      <c r="G133" s="67">
        <f t="shared" si="11"/>
        <v>0.45919990043500003</v>
      </c>
      <c r="H133" s="83">
        <f>_xlfn.IFNA(0.997*(INDEX('Mass attenuation coefficients'!$B$2:$B$37,MATCH($C133,'Mass attenuation coefficients'!$A$2:$A$37,1))+($C133-INDEX('Mass attenuation coefficients'!$A$2:$A$37,MATCH($C133,'Mass attenuation coefficients'!$A$2:$A$37,1)))*(INDEX('Mass attenuation coefficients'!$B$2:$B$37,MATCH($C133,'Mass attenuation coefficients'!$A$2:$A$37,1)+1)-INDEX('Mass attenuation coefficients'!$B$2:$B$37,MATCH($C133,'Mass attenuation coefficients'!$A$2:$A$37,1)))/(INDEX('Mass attenuation coefficients'!$A$2:$A$37,MATCH($C133,'Mass attenuation coefficients'!$A$2:$A$37,1)+1)-INDEX('Mass attenuation coefficients'!$A$2:$A$37,MATCH($C133,'Mass attenuation coefficients'!$A$2:$A$37,1)))),0.997*$C133*'Mass attenuation coefficients'!$B$2/'Mass attenuation coefficients'!$A$2)</f>
        <v>0.11272599193749999</v>
      </c>
      <c r="I133" s="83">
        <f>_xlfn.IFNA(INDEX('Shultis Faw'!$C$2:$C$26,MATCH($C133,'Shultis Faw'!$A$2:$A$26,1))+($C133-INDEX('Shultis Faw'!$A$2:$A$26,MATCH($C133,'Shultis Faw'!$A$2:$A$26,1)))*(INDEX('Shultis Faw'!$C$2:$C$26,MATCH($C133,'Shultis Faw'!$A$2:$A$26,1)+1)-INDEX('Shultis Faw'!$C$2:$C$26,MATCH($C133,'Shultis Faw'!$A$2:$A$26,1)))/(INDEX('Shultis Faw'!$A$2:$A$26,MATCH($C133,'Shultis Faw'!$A$2:$A$26,1)+1)-INDEX('Shultis Faw'!$A$2:$A$26,MATCH($C133,'Shultis Faw'!$A$2:$A$26,1))),$C133*'Shultis Faw'!$C$2/'Shultis Faw'!$A$2)</f>
        <v>2.8048758999999999</v>
      </c>
      <c r="J133" s="83">
        <f>_xlfn.IFNA(INDEX('Shultis Faw'!$D$2:$D$26,MATCH($C133,'Shultis Faw'!$A$2:$A$26,1))+($C133-INDEX('Shultis Faw'!$A$2:$A$26,MATCH($C133,'Shultis Faw'!$A$2:$A$26,1)))*(INDEX('Shultis Faw'!$D$2:$D$26,MATCH($C133,'Shultis Faw'!$A$2:$A$26,1)+1)-INDEX('Shultis Faw'!$D$2:$D$26,MATCH($C133,'Shultis Faw'!$A$2:$A$26,1)))/(INDEX('Shultis Faw'!$A$2:$A$26,MATCH($C133,'Shultis Faw'!$A$2:$A$26,1)+1)-INDEX('Shultis Faw'!$A$2:$A$26,MATCH($C133,'Shultis Faw'!$A$2:$A$26,1))),$C133*'Shultis Faw'!$D$2/'Shultis Faw'!$A$2)</f>
        <v>1.9600100999999999</v>
      </c>
      <c r="K133" s="83">
        <f>_xlfn.IFNA(INDEX('Shultis Faw'!$B$2:$B$26,MATCH($C133,'Shultis Faw'!$A$2:$A$26,1))+($C133-INDEX('Shultis Faw'!$A$2:$A$26,MATCH($C133,'Shultis Faw'!$A$2:$A$26,1)))*(INDEX('Shultis Faw'!$B$2:$B$26,MATCH($C133,'Shultis Faw'!$A$2:$A$26,1)+1)-INDEX('Shultis Faw'!$B$2:$B$26,MATCH($C133,'Shultis Faw'!$A$2:$A$26,1)))/(INDEX('Shultis Faw'!$A$2:$A$26,MATCH($C133,'Shultis Faw'!$A$2:$A$26,1)+1)-INDEX('Shultis Faw'!$A$2:$A$26,MATCH($C133,'Shultis Faw'!$A$2:$A$26,1))),$C133*'Shultis Faw'!$B$2/'Shultis Faw'!$A$2)</f>
        <v>-0.15735822499999999</v>
      </c>
      <c r="L133" s="83">
        <f>_xlfn.IFNA(INDEX('Shultis Faw'!$E$2:$E$26,MATCH($C133,'Shultis Faw'!$A$2:$A$26,1))+($C133-INDEX('Shultis Faw'!$A$2:$A$26,MATCH($C133,'Shultis Faw'!$A$2:$A$26,1)))*(INDEX('Shultis Faw'!$E$2:$E$26,MATCH($C133,'Shultis Faw'!$A$2:$A$26,1)+1)-INDEX('Shultis Faw'!$E$2:$E$26,MATCH($C133,'Shultis Faw'!$A$2:$A$26,1)))/(INDEX('Shultis Faw'!$A$2:$A$26,MATCH($C133,'Shultis Faw'!$A$2:$A$26,1)+1)-INDEX('Shultis Faw'!$A$2:$A$26,MATCH($C133,'Shultis Faw'!$A$2:$A$26,1))),$C133*'Shultis Faw'!$E$2/'Shultis Faw'!$A$2)</f>
        <v>6.2843289999999996E-2</v>
      </c>
      <c r="M133" s="83">
        <f>_xlfn.IFNA(INDEX('Shultis Faw'!$F$2:$F$26,MATCH($C133,'Shultis Faw'!$A$2:$A$26,1))+($C133-INDEX('Shultis Faw'!$A$2:$A$26,MATCH($C133,'Shultis Faw'!$A$2:$A$26,1)))*(INDEX('Shultis Faw'!$F$2:$F$26,MATCH($C133,'Shultis Faw'!$A$2:$A$26,1)+1)-INDEX('Shultis Faw'!$F$2:$F$26,MATCH($C133,'Shultis Faw'!$A$2:$A$26,1)))/(INDEX('Shultis Faw'!$A$2:$A$26,MATCH($C133,'Shultis Faw'!$A$2:$A$26,1)+1)-INDEX('Shultis Faw'!$A$2:$A$26,MATCH($C133,'Shultis Faw'!$A$2:$A$26,1))),$C133*'Shultis Faw'!$F$2/'Shultis Faw'!$A$2)</f>
        <v>14.223283550000001</v>
      </c>
      <c r="N133" s="83">
        <f>J133*(H133*'Externe blootstelling'!$D$23/2)^K133+L133*(TANH(((H133*'Externe blootstelling'!$D$23)/(2*M133))-2)-TANH(-2))/(1-TANH(-2))</f>
        <v>1.8048251984379231</v>
      </c>
      <c r="O133" s="83">
        <f>IF(N133=1,1+(I133-1)*H133*'Externe blootstelling'!$D$23/2,1+(I133-1)*(N133^(H133*'Externe blootstelling'!$D$23/2)-1)/(N133-1))</f>
        <v>4.8436753699043003</v>
      </c>
      <c r="P133" s="67">
        <f>G133*EXP(-H133*'Externe blootstelling'!$D$23/2)*O133</f>
        <v>0.41004608491659489</v>
      </c>
      <c r="Q133" s="68"/>
    </row>
    <row r="134" spans="1:17" x14ac:dyDescent="0.2">
      <c r="A134" s="217"/>
      <c r="B134" s="64" t="s">
        <v>104</v>
      </c>
      <c r="C134" s="66">
        <v>0.35166000000000003</v>
      </c>
      <c r="D134" s="66">
        <f t="shared" si="10"/>
        <v>5.62656E-14</v>
      </c>
      <c r="E134" s="66">
        <v>1.4000000000000001E-4</v>
      </c>
      <c r="F134" s="66">
        <f>_xlfn.IFNA(INDEX('hp (pSv cm2)'!$B$2:$B$52,MATCH($C134,'hp (pSv cm2)'!$A$2:$A$52,1))+($C134-INDEX('hp (pSv cm2)'!$A$2:$A$52,MATCH($C134,'hp (pSv cm2)'!$A$2:$A$52,1)))*(INDEX('hp (pSv cm2)'!$B$2:$B$52,MATCH($C134,'hp (pSv cm2)'!$A$2:$A$52,1)+1)-INDEX('hp (pSv cm2)'!$B$2:$B$52,MATCH($C134,'hp (pSv cm2)'!$A$2:$A$52,1)))/(INDEX('hp (pSv cm2)'!$A$2:$A$52,MATCH($C134,'hp (pSv cm2)'!$A$2:$A$52,1)+1)-INDEX('hp (pSv cm2)'!$A$2:$A$52,MATCH($C134,'hp (pSv cm2)'!$A$2:$A$52,1))),$C134*'hp (pSv cm2)'!$B$2/'hp (pSv cm2)'!$A$2)</f>
        <v>1.763134</v>
      </c>
      <c r="G134" s="67">
        <f t="shared" si="11"/>
        <v>2.4683876000000004E-4</v>
      </c>
      <c r="H134" s="83">
        <f>_xlfn.IFNA(0.997*(INDEX('Mass attenuation coefficients'!$B$2:$B$37,MATCH($C134,'Mass attenuation coefficients'!$A$2:$A$37,1))+($C134-INDEX('Mass attenuation coefficients'!$A$2:$A$37,MATCH($C134,'Mass attenuation coefficients'!$A$2:$A$37,1)))*(INDEX('Mass attenuation coefficients'!$B$2:$B$37,MATCH($C134,'Mass attenuation coefficients'!$A$2:$A$37,1)+1)-INDEX('Mass attenuation coefficients'!$B$2:$B$37,MATCH($C134,'Mass attenuation coefficients'!$A$2:$A$37,1)))/(INDEX('Mass attenuation coefficients'!$A$2:$A$37,MATCH($C134,'Mass attenuation coefficients'!$A$2:$A$37,1)+1)-INDEX('Mass attenuation coefficients'!$A$2:$A$37,MATCH($C134,'Mass attenuation coefficients'!$A$2:$A$37,1)))),0.997*$C134*'Mass attenuation coefficients'!$B$2/'Mass attenuation coefficients'!$A$2)</f>
        <v>0.11180607249999999</v>
      </c>
      <c r="I134" s="83">
        <f>_xlfn.IFNA(INDEX('Shultis Faw'!$C$2:$C$26,MATCH($C134,'Shultis Faw'!$A$2:$A$26,1))+($C134-INDEX('Shultis Faw'!$A$2:$A$26,MATCH($C134,'Shultis Faw'!$A$2:$A$26,1)))*(INDEX('Shultis Faw'!$C$2:$C$26,MATCH($C134,'Shultis Faw'!$A$2:$A$26,1)+1)-INDEX('Shultis Faw'!$C$2:$C$26,MATCH($C134,'Shultis Faw'!$A$2:$A$26,1)))/(INDEX('Shultis Faw'!$A$2:$A$26,MATCH($C134,'Shultis Faw'!$A$2:$A$26,1)+1)-INDEX('Shultis Faw'!$A$2:$A$26,MATCH($C134,'Shultis Faw'!$A$2:$A$26,1))),$C134*'Shultis Faw'!$C$2/'Shultis Faw'!$A$2)</f>
        <v>2.7856839999999998</v>
      </c>
      <c r="J134" s="83">
        <f>_xlfn.IFNA(INDEX('Shultis Faw'!$D$2:$D$26,MATCH($C134,'Shultis Faw'!$A$2:$A$26,1))+($C134-INDEX('Shultis Faw'!$A$2:$A$26,MATCH($C134,'Shultis Faw'!$A$2:$A$26,1)))*(INDEX('Shultis Faw'!$D$2:$D$26,MATCH($C134,'Shultis Faw'!$A$2:$A$26,1)+1)-INDEX('Shultis Faw'!$D$2:$D$26,MATCH($C134,'Shultis Faw'!$A$2:$A$26,1)))/(INDEX('Shultis Faw'!$A$2:$A$26,MATCH($C134,'Shultis Faw'!$A$2:$A$26,1)+1)-INDEX('Shultis Faw'!$A$2:$A$26,MATCH($C134,'Shultis Faw'!$A$2:$A$26,1))),$C134*'Shultis Faw'!$D$2/'Shultis Faw'!$A$2)</f>
        <v>1.9496759999999997</v>
      </c>
      <c r="K134" s="83">
        <f>_xlfn.IFNA(INDEX('Shultis Faw'!$B$2:$B$26,MATCH($C134,'Shultis Faw'!$A$2:$A$26,1))+($C134-INDEX('Shultis Faw'!$A$2:$A$26,MATCH($C134,'Shultis Faw'!$A$2:$A$26,1)))*(INDEX('Shultis Faw'!$B$2:$B$26,MATCH($C134,'Shultis Faw'!$A$2:$A$26,1)+1)-INDEX('Shultis Faw'!$B$2:$B$26,MATCH($C134,'Shultis Faw'!$A$2:$A$26,1)))/(INDEX('Shultis Faw'!$A$2:$A$26,MATCH($C134,'Shultis Faw'!$A$2:$A$26,1)+1)-INDEX('Shultis Faw'!$A$2:$A$26,MATCH($C134,'Shultis Faw'!$A$2:$A$26,1))),$C134*'Shultis Faw'!$B$2/'Shultis Faw'!$A$2)</f>
        <v>-0.156251</v>
      </c>
      <c r="L134" s="83">
        <f>_xlfn.IFNA(INDEX('Shultis Faw'!$E$2:$E$26,MATCH($C134,'Shultis Faw'!$A$2:$A$26,1))+($C134-INDEX('Shultis Faw'!$A$2:$A$26,MATCH($C134,'Shultis Faw'!$A$2:$A$26,1)))*(INDEX('Shultis Faw'!$E$2:$E$26,MATCH($C134,'Shultis Faw'!$A$2:$A$26,1)+1)-INDEX('Shultis Faw'!$E$2:$E$26,MATCH($C134,'Shultis Faw'!$A$2:$A$26,1)))/(INDEX('Shultis Faw'!$A$2:$A$26,MATCH($C134,'Shultis Faw'!$A$2:$A$26,1)+1)-INDEX('Shultis Faw'!$A$2:$A$26,MATCH($C134,'Shultis Faw'!$A$2:$A$26,1))),$C134*'Shultis Faw'!$E$2/'Shultis Faw'!$A$2)</f>
        <v>6.2400400000000002E-2</v>
      </c>
      <c r="M134" s="83">
        <f>_xlfn.IFNA(INDEX('Shultis Faw'!$F$2:$F$26,MATCH($C134,'Shultis Faw'!$A$2:$A$26,1))+($C134-INDEX('Shultis Faw'!$A$2:$A$26,MATCH($C134,'Shultis Faw'!$A$2:$A$26,1)))*(INDEX('Shultis Faw'!$F$2:$F$26,MATCH($C134,'Shultis Faw'!$A$2:$A$26,1)+1)-INDEX('Shultis Faw'!$F$2:$F$26,MATCH($C134,'Shultis Faw'!$A$2:$A$26,1)))/(INDEX('Shultis Faw'!$A$2:$A$26,MATCH($C134,'Shultis Faw'!$A$2:$A$26,1)+1)-INDEX('Shultis Faw'!$A$2:$A$26,MATCH($C134,'Shultis Faw'!$A$2:$A$26,1))),$C134*'Shultis Faw'!$F$2/'Shultis Faw'!$A$2)</f>
        <v>14.225498</v>
      </c>
      <c r="N134" s="83">
        <f>J134*(H134*'Externe blootstelling'!$D$23/2)^K134+L134*(TANH(((H134*'Externe blootstelling'!$D$23)/(2*M134))-2)-TANH(-2))/(1-TANH(-2))</f>
        <v>1.7986512611216279</v>
      </c>
      <c r="O134" s="83">
        <f>IF(N134=1,1+(I134-1)*H134*'Externe blootstelling'!$D$23/2,1+(I134-1)*(N134^(H134*'Externe blootstelling'!$D$23/2)-1)/(N134-1))</f>
        <v>4.7484716997321623</v>
      </c>
      <c r="P134" s="67">
        <f>G134*EXP(-H134*'Externe blootstelling'!$D$23/2)*O134</f>
        <v>2.1908659470907215E-4</v>
      </c>
      <c r="Q134" s="68"/>
    </row>
    <row r="135" spans="1:17" x14ac:dyDescent="0.2">
      <c r="A135" s="217"/>
      <c r="B135" s="64" t="s">
        <v>104</v>
      </c>
      <c r="C135" s="66">
        <v>0.35725999999999997</v>
      </c>
      <c r="D135" s="66">
        <f t="shared" si="10"/>
        <v>5.7161599999999983E-14</v>
      </c>
      <c r="E135" s="66">
        <v>4.0000000000000003E-5</v>
      </c>
      <c r="F135" s="66">
        <f>_xlfn.IFNA(INDEX('hp (pSv cm2)'!$B$2:$B$52,MATCH($C135,'hp (pSv cm2)'!$A$2:$A$52,1))+($C135-INDEX('hp (pSv cm2)'!$A$2:$A$52,MATCH($C135,'hp (pSv cm2)'!$A$2:$A$52,1)))*(INDEX('hp (pSv cm2)'!$B$2:$B$52,MATCH($C135,'hp (pSv cm2)'!$A$2:$A$52,1)+1)-INDEX('hp (pSv cm2)'!$B$2:$B$52,MATCH($C135,'hp (pSv cm2)'!$A$2:$A$52,1)))/(INDEX('hp (pSv cm2)'!$A$2:$A$52,MATCH($C135,'hp (pSv cm2)'!$A$2:$A$52,1)+1)-INDEX('hp (pSv cm2)'!$A$2:$A$52,MATCH($C135,'hp (pSv cm2)'!$A$2:$A$52,1))),$C135*'hp (pSv cm2)'!$B$2/'hp (pSv cm2)'!$A$2)</f>
        <v>1.7905739999999999</v>
      </c>
      <c r="G135" s="67">
        <f t="shared" si="11"/>
        <v>7.1622959999999999E-5</v>
      </c>
      <c r="H135" s="83">
        <f>_xlfn.IFNA(0.997*(INDEX('Mass attenuation coefficients'!$B$2:$B$37,MATCH($C135,'Mass attenuation coefficients'!$A$2:$A$37,1))+($C135-INDEX('Mass attenuation coefficients'!$A$2:$A$37,MATCH($C135,'Mass attenuation coefficients'!$A$2:$A$37,1)))*(INDEX('Mass attenuation coefficients'!$B$2:$B$37,MATCH($C135,'Mass attenuation coefficients'!$A$2:$A$37,1)+1)-INDEX('Mass attenuation coefficients'!$B$2:$B$37,MATCH($C135,'Mass attenuation coefficients'!$A$2:$A$37,1)))/(INDEX('Mass attenuation coefficients'!$A$2:$A$37,MATCH($C135,'Mass attenuation coefficients'!$A$2:$A$37,1)+1)-INDEX('Mass attenuation coefficients'!$A$2:$A$37,MATCH($C135,'Mass attenuation coefficients'!$A$2:$A$37,1)))),0.997*$C135*'Mass attenuation coefficients'!$B$2/'Mass attenuation coefficients'!$A$2)</f>
        <v>0.1111081725</v>
      </c>
      <c r="I135" s="83">
        <f>_xlfn.IFNA(INDEX('Shultis Faw'!$C$2:$C$26,MATCH($C135,'Shultis Faw'!$A$2:$A$26,1))+($C135-INDEX('Shultis Faw'!$A$2:$A$26,MATCH($C135,'Shultis Faw'!$A$2:$A$26,1)))*(INDEX('Shultis Faw'!$C$2:$C$26,MATCH($C135,'Shultis Faw'!$A$2:$A$26,1)+1)-INDEX('Shultis Faw'!$C$2:$C$26,MATCH($C135,'Shultis Faw'!$A$2:$A$26,1)))/(INDEX('Shultis Faw'!$A$2:$A$26,MATCH($C135,'Shultis Faw'!$A$2:$A$26,1)+1)-INDEX('Shultis Faw'!$A$2:$A$26,MATCH($C135,'Shultis Faw'!$A$2:$A$26,1))),$C135*'Shultis Faw'!$C$2/'Shultis Faw'!$A$2)</f>
        <v>2.7711240000000004</v>
      </c>
      <c r="J135" s="83">
        <f>_xlfn.IFNA(INDEX('Shultis Faw'!$D$2:$D$26,MATCH($C135,'Shultis Faw'!$A$2:$A$26,1))+($C135-INDEX('Shultis Faw'!$A$2:$A$26,MATCH($C135,'Shultis Faw'!$A$2:$A$26,1)))*(INDEX('Shultis Faw'!$D$2:$D$26,MATCH($C135,'Shultis Faw'!$A$2:$A$26,1)+1)-INDEX('Shultis Faw'!$D$2:$D$26,MATCH($C135,'Shultis Faw'!$A$2:$A$26,1)))/(INDEX('Shultis Faw'!$A$2:$A$26,MATCH($C135,'Shultis Faw'!$A$2:$A$26,1)+1)-INDEX('Shultis Faw'!$A$2:$A$26,MATCH($C135,'Shultis Faw'!$A$2:$A$26,1))),$C135*'Shultis Faw'!$D$2/'Shultis Faw'!$A$2)</f>
        <v>1.9418359999999999</v>
      </c>
      <c r="K135" s="83">
        <f>_xlfn.IFNA(INDEX('Shultis Faw'!$B$2:$B$26,MATCH($C135,'Shultis Faw'!$A$2:$A$26,1))+($C135-INDEX('Shultis Faw'!$A$2:$A$26,MATCH($C135,'Shultis Faw'!$A$2:$A$26,1)))*(INDEX('Shultis Faw'!$B$2:$B$26,MATCH($C135,'Shultis Faw'!$A$2:$A$26,1)+1)-INDEX('Shultis Faw'!$B$2:$B$26,MATCH($C135,'Shultis Faw'!$A$2:$A$26,1)))/(INDEX('Shultis Faw'!$A$2:$A$26,MATCH($C135,'Shultis Faw'!$A$2:$A$26,1)+1)-INDEX('Shultis Faw'!$A$2:$A$26,MATCH($C135,'Shultis Faw'!$A$2:$A$26,1))),$C135*'Shultis Faw'!$B$2/'Shultis Faw'!$A$2)</f>
        <v>-0.15541099999999999</v>
      </c>
      <c r="L135" s="83">
        <f>_xlfn.IFNA(INDEX('Shultis Faw'!$E$2:$E$26,MATCH($C135,'Shultis Faw'!$A$2:$A$26,1))+($C135-INDEX('Shultis Faw'!$A$2:$A$26,MATCH($C135,'Shultis Faw'!$A$2:$A$26,1)))*(INDEX('Shultis Faw'!$E$2:$E$26,MATCH($C135,'Shultis Faw'!$A$2:$A$26,1)+1)-INDEX('Shultis Faw'!$E$2:$E$26,MATCH($C135,'Shultis Faw'!$A$2:$A$26,1)))/(INDEX('Shultis Faw'!$A$2:$A$26,MATCH($C135,'Shultis Faw'!$A$2:$A$26,1)+1)-INDEX('Shultis Faw'!$A$2:$A$26,MATCH($C135,'Shultis Faw'!$A$2:$A$26,1))),$C135*'Shultis Faw'!$E$2/'Shultis Faw'!$A$2)</f>
        <v>6.2064399999999999E-2</v>
      </c>
      <c r="M135" s="83">
        <f>_xlfn.IFNA(INDEX('Shultis Faw'!$F$2:$F$26,MATCH($C135,'Shultis Faw'!$A$2:$A$26,1))+($C135-INDEX('Shultis Faw'!$A$2:$A$26,MATCH($C135,'Shultis Faw'!$A$2:$A$26,1)))*(INDEX('Shultis Faw'!$F$2:$F$26,MATCH($C135,'Shultis Faw'!$A$2:$A$26,1)+1)-INDEX('Shultis Faw'!$F$2:$F$26,MATCH($C135,'Shultis Faw'!$A$2:$A$26,1)))/(INDEX('Shultis Faw'!$A$2:$A$26,MATCH($C135,'Shultis Faw'!$A$2:$A$26,1)+1)-INDEX('Shultis Faw'!$A$2:$A$26,MATCH($C135,'Shultis Faw'!$A$2:$A$26,1))),$C135*'Shultis Faw'!$F$2/'Shultis Faw'!$A$2)</f>
        <v>14.227178</v>
      </c>
      <c r="N135" s="83">
        <f>J135*(H135*'Externe blootstelling'!$D$23/2)^K135+L135*(TANH(((H135*'Externe blootstelling'!$D$23)/(2*M135))-2)-TANH(-2))/(1-TANH(-2))</f>
        <v>1.793938757766778</v>
      </c>
      <c r="O135" s="83">
        <f>IF(N135=1,1+(I135-1)*H135*'Externe blootstelling'!$D$23/2,1+(I135-1)*(N135^(H135*'Externe blootstelling'!$D$23/2)-1)/(N135-1))</f>
        <v>4.6775057737286199</v>
      </c>
      <c r="P135" s="67">
        <f>G135*EXP(-H135*'Externe blootstelling'!$D$23/2)*O135</f>
        <v>6.3279290984599536E-5</v>
      </c>
      <c r="Q135" s="68"/>
    </row>
    <row r="136" spans="1:17" x14ac:dyDescent="0.2">
      <c r="A136" s="217"/>
      <c r="B136" s="64" t="s">
        <v>104</v>
      </c>
      <c r="C136" s="66">
        <v>0.36778910000000004</v>
      </c>
      <c r="D136" s="66">
        <f t="shared" si="10"/>
        <v>5.8846256000000002E-14</v>
      </c>
      <c r="E136" s="66">
        <v>8.6199999999999992E-3</v>
      </c>
      <c r="F136" s="66">
        <f>_xlfn.IFNA(INDEX('hp (pSv cm2)'!$B$2:$B$52,MATCH($C136,'hp (pSv cm2)'!$A$2:$A$52,1))+($C136-INDEX('hp (pSv cm2)'!$A$2:$A$52,MATCH($C136,'hp (pSv cm2)'!$A$2:$A$52,1)))*(INDEX('hp (pSv cm2)'!$B$2:$B$52,MATCH($C136,'hp (pSv cm2)'!$A$2:$A$52,1)+1)-INDEX('hp (pSv cm2)'!$B$2:$B$52,MATCH($C136,'hp (pSv cm2)'!$A$2:$A$52,1)))/(INDEX('hp (pSv cm2)'!$A$2:$A$52,MATCH($C136,'hp (pSv cm2)'!$A$2:$A$52,1)+1)-INDEX('hp (pSv cm2)'!$A$2:$A$52,MATCH($C136,'hp (pSv cm2)'!$A$2:$A$52,1))),$C136*'hp (pSv cm2)'!$B$2/'hp (pSv cm2)'!$A$2)</f>
        <v>1.8421665900000002</v>
      </c>
      <c r="G136" s="67">
        <f t="shared" si="11"/>
        <v>1.5879476005799999E-2</v>
      </c>
      <c r="H136" s="83">
        <f>_xlfn.IFNA(0.997*(INDEX('Mass attenuation coefficients'!$B$2:$B$37,MATCH($C136,'Mass attenuation coefficients'!$A$2:$A$37,1))+($C136-INDEX('Mass attenuation coefficients'!$A$2:$A$37,MATCH($C136,'Mass attenuation coefficients'!$A$2:$A$37,1)))*(INDEX('Mass attenuation coefficients'!$B$2:$B$37,MATCH($C136,'Mass attenuation coefficients'!$A$2:$A$37,1)+1)-INDEX('Mass attenuation coefficients'!$B$2:$B$37,MATCH($C136,'Mass attenuation coefficients'!$A$2:$A$37,1)))/(INDEX('Mass attenuation coefficients'!$A$2:$A$37,MATCH($C136,'Mass attenuation coefficients'!$A$2:$A$37,1)+1)-INDEX('Mass attenuation coefficients'!$A$2:$A$37,MATCH($C136,'Mass attenuation coefficients'!$A$2:$A$37,1)))),0.997*$C136*'Mass attenuation coefficients'!$B$2/'Mass attenuation coefficients'!$A$2)</f>
        <v>0.10979598341249999</v>
      </c>
      <c r="I136" s="83">
        <f>_xlfn.IFNA(INDEX('Shultis Faw'!$C$2:$C$26,MATCH($C136,'Shultis Faw'!$A$2:$A$26,1))+($C136-INDEX('Shultis Faw'!$A$2:$A$26,MATCH($C136,'Shultis Faw'!$A$2:$A$26,1)))*(INDEX('Shultis Faw'!$C$2:$C$26,MATCH($C136,'Shultis Faw'!$A$2:$A$26,1)+1)-INDEX('Shultis Faw'!$C$2:$C$26,MATCH($C136,'Shultis Faw'!$A$2:$A$26,1)))/(INDEX('Shultis Faw'!$A$2:$A$26,MATCH($C136,'Shultis Faw'!$A$2:$A$26,1)+1)-INDEX('Shultis Faw'!$A$2:$A$26,MATCH($C136,'Shultis Faw'!$A$2:$A$26,1))),$C136*'Shultis Faw'!$C$2/'Shultis Faw'!$A$2)</f>
        <v>2.7437483399999998</v>
      </c>
      <c r="J136" s="83">
        <f>_xlfn.IFNA(INDEX('Shultis Faw'!$D$2:$D$26,MATCH($C136,'Shultis Faw'!$A$2:$A$26,1))+($C136-INDEX('Shultis Faw'!$A$2:$A$26,MATCH($C136,'Shultis Faw'!$A$2:$A$26,1)))*(INDEX('Shultis Faw'!$D$2:$D$26,MATCH($C136,'Shultis Faw'!$A$2:$A$26,1)+1)-INDEX('Shultis Faw'!$D$2:$D$26,MATCH($C136,'Shultis Faw'!$A$2:$A$26,1)))/(INDEX('Shultis Faw'!$A$2:$A$26,MATCH($C136,'Shultis Faw'!$A$2:$A$26,1)+1)-INDEX('Shultis Faw'!$A$2:$A$26,MATCH($C136,'Shultis Faw'!$A$2:$A$26,1))),$C136*'Shultis Faw'!$D$2/'Shultis Faw'!$A$2)</f>
        <v>1.9270952599999998</v>
      </c>
      <c r="K136" s="83">
        <f>_xlfn.IFNA(INDEX('Shultis Faw'!$B$2:$B$26,MATCH($C136,'Shultis Faw'!$A$2:$A$26,1))+($C136-INDEX('Shultis Faw'!$A$2:$A$26,MATCH($C136,'Shultis Faw'!$A$2:$A$26,1)))*(INDEX('Shultis Faw'!$B$2:$B$26,MATCH($C136,'Shultis Faw'!$A$2:$A$26,1)+1)-INDEX('Shultis Faw'!$B$2:$B$26,MATCH($C136,'Shultis Faw'!$A$2:$A$26,1)))/(INDEX('Shultis Faw'!$A$2:$A$26,MATCH($C136,'Shultis Faw'!$A$2:$A$26,1)+1)-INDEX('Shultis Faw'!$A$2:$A$26,MATCH($C136,'Shultis Faw'!$A$2:$A$26,1))),$C136*'Shultis Faw'!$B$2/'Shultis Faw'!$A$2)</f>
        <v>-0.15383163499999999</v>
      </c>
      <c r="L136" s="83">
        <f>_xlfn.IFNA(INDEX('Shultis Faw'!$E$2:$E$26,MATCH($C136,'Shultis Faw'!$A$2:$A$26,1))+($C136-INDEX('Shultis Faw'!$A$2:$A$26,MATCH($C136,'Shultis Faw'!$A$2:$A$26,1)))*(INDEX('Shultis Faw'!$E$2:$E$26,MATCH($C136,'Shultis Faw'!$A$2:$A$26,1)+1)-INDEX('Shultis Faw'!$E$2:$E$26,MATCH($C136,'Shultis Faw'!$A$2:$A$26,1)))/(INDEX('Shultis Faw'!$A$2:$A$26,MATCH($C136,'Shultis Faw'!$A$2:$A$26,1)+1)-INDEX('Shultis Faw'!$A$2:$A$26,MATCH($C136,'Shultis Faw'!$A$2:$A$26,1))),$C136*'Shultis Faw'!$E$2/'Shultis Faw'!$A$2)</f>
        <v>6.1432653999999996E-2</v>
      </c>
      <c r="M136" s="83">
        <f>_xlfn.IFNA(INDEX('Shultis Faw'!$F$2:$F$26,MATCH($C136,'Shultis Faw'!$A$2:$A$26,1))+($C136-INDEX('Shultis Faw'!$A$2:$A$26,MATCH($C136,'Shultis Faw'!$A$2:$A$26,1)))*(INDEX('Shultis Faw'!$F$2:$F$26,MATCH($C136,'Shultis Faw'!$A$2:$A$26,1)+1)-INDEX('Shultis Faw'!$F$2:$F$26,MATCH($C136,'Shultis Faw'!$A$2:$A$26,1)))/(INDEX('Shultis Faw'!$A$2:$A$26,MATCH($C136,'Shultis Faw'!$A$2:$A$26,1)+1)-INDEX('Shultis Faw'!$A$2:$A$26,MATCH($C136,'Shultis Faw'!$A$2:$A$26,1))),$C136*'Shultis Faw'!$F$2/'Shultis Faw'!$A$2)</f>
        <v>14.230336730000001</v>
      </c>
      <c r="N136" s="83">
        <f>J136*(H136*'Externe blootstelling'!$D$23/2)^K136+L136*(TANH(((H136*'Externe blootstelling'!$D$23)/(2*M136))-2)-TANH(-2))/(1-TANH(-2))</f>
        <v>1.7850113960744136</v>
      </c>
      <c r="O136" s="83">
        <f>IF(N136=1,1+(I136-1)*H136*'Externe blootstelling'!$D$23/2,1+(I136-1)*(N136^(H136*'Externe blootstelling'!$D$23/2)-1)/(N136-1))</f>
        <v>4.5469643884248292</v>
      </c>
      <c r="P136" s="67">
        <f>G136*EXP(-H136*'Externe blootstelling'!$D$23/2)*O136</f>
        <v>1.3909159081963782E-2</v>
      </c>
      <c r="Q136" s="68"/>
    </row>
    <row r="137" spans="1:17" x14ac:dyDescent="0.2">
      <c r="A137" s="217"/>
      <c r="B137" s="64" t="s">
        <v>104</v>
      </c>
      <c r="C137" s="66">
        <v>0.37936999999999999</v>
      </c>
      <c r="D137" s="66">
        <f t="shared" si="10"/>
        <v>6.0699200000000002E-14</v>
      </c>
      <c r="E137" s="66">
        <v>8.3000000000000002E-6</v>
      </c>
      <c r="F137" s="66">
        <f>_xlfn.IFNA(INDEX('hp (pSv cm2)'!$B$2:$B$52,MATCH($C137,'hp (pSv cm2)'!$A$2:$A$52,1))+($C137-INDEX('hp (pSv cm2)'!$A$2:$A$52,MATCH($C137,'hp (pSv cm2)'!$A$2:$A$52,1)))*(INDEX('hp (pSv cm2)'!$B$2:$B$52,MATCH($C137,'hp (pSv cm2)'!$A$2:$A$52,1)+1)-INDEX('hp (pSv cm2)'!$B$2:$B$52,MATCH($C137,'hp (pSv cm2)'!$A$2:$A$52,1)))/(INDEX('hp (pSv cm2)'!$A$2:$A$52,MATCH($C137,'hp (pSv cm2)'!$A$2:$A$52,1)+1)-INDEX('hp (pSv cm2)'!$A$2:$A$52,MATCH($C137,'hp (pSv cm2)'!$A$2:$A$52,1))),$C137*'hp (pSv cm2)'!$B$2/'hp (pSv cm2)'!$A$2)</f>
        <v>1.8989129999999999</v>
      </c>
      <c r="G137" s="67">
        <f t="shared" si="11"/>
        <v>1.5760977899999999E-5</v>
      </c>
      <c r="H137" s="83">
        <f>_xlfn.IFNA(0.997*(INDEX('Mass attenuation coefficients'!$B$2:$B$37,MATCH($C137,'Mass attenuation coefficients'!$A$2:$A$37,1))+($C137-INDEX('Mass attenuation coefficients'!$A$2:$A$37,MATCH($C137,'Mass attenuation coefficients'!$A$2:$A$37,1)))*(INDEX('Mass attenuation coefficients'!$B$2:$B$37,MATCH($C137,'Mass attenuation coefficients'!$A$2:$A$37,1)+1)-INDEX('Mass attenuation coefficients'!$B$2:$B$37,MATCH($C137,'Mass attenuation coefficients'!$A$2:$A$37,1)))/(INDEX('Mass attenuation coefficients'!$A$2:$A$37,MATCH($C137,'Mass attenuation coefficients'!$A$2:$A$37,1)+1)-INDEX('Mass attenuation coefficients'!$A$2:$A$37,MATCH($C137,'Mass attenuation coefficients'!$A$2:$A$37,1)))),0.997*$C137*'Mass attenuation coefficients'!$B$2/'Mass attenuation coefficients'!$A$2)</f>
        <v>0.10835271375000001</v>
      </c>
      <c r="I137" s="83">
        <f>_xlfn.IFNA(INDEX('Shultis Faw'!$C$2:$C$26,MATCH($C137,'Shultis Faw'!$A$2:$A$26,1))+($C137-INDEX('Shultis Faw'!$A$2:$A$26,MATCH($C137,'Shultis Faw'!$A$2:$A$26,1)))*(INDEX('Shultis Faw'!$C$2:$C$26,MATCH($C137,'Shultis Faw'!$A$2:$A$26,1)+1)-INDEX('Shultis Faw'!$C$2:$C$26,MATCH($C137,'Shultis Faw'!$A$2:$A$26,1)))/(INDEX('Shultis Faw'!$A$2:$A$26,MATCH($C137,'Shultis Faw'!$A$2:$A$26,1)+1)-INDEX('Shultis Faw'!$A$2:$A$26,MATCH($C137,'Shultis Faw'!$A$2:$A$26,1))),$C137*'Shultis Faw'!$C$2/'Shultis Faw'!$A$2)</f>
        <v>2.713638</v>
      </c>
      <c r="J137" s="83">
        <f>_xlfn.IFNA(INDEX('Shultis Faw'!$D$2:$D$26,MATCH($C137,'Shultis Faw'!$A$2:$A$26,1))+($C137-INDEX('Shultis Faw'!$A$2:$A$26,MATCH($C137,'Shultis Faw'!$A$2:$A$26,1)))*(INDEX('Shultis Faw'!$D$2:$D$26,MATCH($C137,'Shultis Faw'!$A$2:$A$26,1)+1)-INDEX('Shultis Faw'!$D$2:$D$26,MATCH($C137,'Shultis Faw'!$A$2:$A$26,1)))/(INDEX('Shultis Faw'!$A$2:$A$26,MATCH($C137,'Shultis Faw'!$A$2:$A$26,1)+1)-INDEX('Shultis Faw'!$A$2:$A$26,MATCH($C137,'Shultis Faw'!$A$2:$A$26,1))),$C137*'Shultis Faw'!$D$2/'Shultis Faw'!$A$2)</f>
        <v>1.910882</v>
      </c>
      <c r="K137" s="83">
        <f>_xlfn.IFNA(INDEX('Shultis Faw'!$B$2:$B$26,MATCH($C137,'Shultis Faw'!$A$2:$A$26,1))+($C137-INDEX('Shultis Faw'!$A$2:$A$26,MATCH($C137,'Shultis Faw'!$A$2:$A$26,1)))*(INDEX('Shultis Faw'!$B$2:$B$26,MATCH($C137,'Shultis Faw'!$A$2:$A$26,1)+1)-INDEX('Shultis Faw'!$B$2:$B$26,MATCH($C137,'Shultis Faw'!$A$2:$A$26,1)))/(INDEX('Shultis Faw'!$A$2:$A$26,MATCH($C137,'Shultis Faw'!$A$2:$A$26,1)+1)-INDEX('Shultis Faw'!$A$2:$A$26,MATCH($C137,'Shultis Faw'!$A$2:$A$26,1))),$C137*'Shultis Faw'!$B$2/'Shultis Faw'!$A$2)</f>
        <v>-0.15209449999999999</v>
      </c>
      <c r="L137" s="83">
        <f>_xlfn.IFNA(INDEX('Shultis Faw'!$E$2:$E$26,MATCH($C137,'Shultis Faw'!$A$2:$A$26,1))+($C137-INDEX('Shultis Faw'!$A$2:$A$26,MATCH($C137,'Shultis Faw'!$A$2:$A$26,1)))*(INDEX('Shultis Faw'!$E$2:$E$26,MATCH($C137,'Shultis Faw'!$A$2:$A$26,1)+1)-INDEX('Shultis Faw'!$E$2:$E$26,MATCH($C137,'Shultis Faw'!$A$2:$A$26,1)))/(INDEX('Shultis Faw'!$A$2:$A$26,MATCH($C137,'Shultis Faw'!$A$2:$A$26,1)+1)-INDEX('Shultis Faw'!$A$2:$A$26,MATCH($C137,'Shultis Faw'!$A$2:$A$26,1))),$C137*'Shultis Faw'!$E$2/'Shultis Faw'!$A$2)</f>
        <v>6.0737800000000002E-2</v>
      </c>
      <c r="M137" s="83">
        <f>_xlfn.IFNA(INDEX('Shultis Faw'!$F$2:$F$26,MATCH($C137,'Shultis Faw'!$A$2:$A$26,1))+($C137-INDEX('Shultis Faw'!$A$2:$A$26,MATCH($C137,'Shultis Faw'!$A$2:$A$26,1)))*(INDEX('Shultis Faw'!$F$2:$F$26,MATCH($C137,'Shultis Faw'!$A$2:$A$26,1)+1)-INDEX('Shultis Faw'!$F$2:$F$26,MATCH($C137,'Shultis Faw'!$A$2:$A$26,1)))/(INDEX('Shultis Faw'!$A$2:$A$26,MATCH($C137,'Shultis Faw'!$A$2:$A$26,1)+1)-INDEX('Shultis Faw'!$A$2:$A$26,MATCH($C137,'Shultis Faw'!$A$2:$A$26,1))),$C137*'Shultis Faw'!$F$2/'Shultis Faw'!$A$2)</f>
        <v>14.233811000000001</v>
      </c>
      <c r="N137" s="83">
        <f>J137*(H137*'Externe blootstelling'!$D$23/2)^K137+L137*(TANH(((H137*'Externe blootstelling'!$D$23)/(2*M137))-2)-TANH(-2))/(1-TANH(-2))</f>
        <v>1.7750912255917208</v>
      </c>
      <c r="O137" s="83">
        <f>IF(N137=1,1+(I137-1)*H137*'Externe blootstelling'!$D$23/2,1+(I137-1)*(N137^(H137*'Externe blootstelling'!$D$23/2)-1)/(N137-1))</f>
        <v>4.4076393928174191</v>
      </c>
      <c r="P137" s="67">
        <f>G137*EXP(-H137*'Externe blootstelling'!$D$23/2)*O137</f>
        <v>1.3675223430897836E-5</v>
      </c>
      <c r="Q137" s="68"/>
    </row>
    <row r="138" spans="1:17" x14ac:dyDescent="0.2">
      <c r="A138" s="217"/>
      <c r="B138" s="64" t="s">
        <v>104</v>
      </c>
      <c r="C138" s="66">
        <v>0.38568999999999998</v>
      </c>
      <c r="D138" s="66">
        <f t="shared" si="10"/>
        <v>6.17104E-14</v>
      </c>
      <c r="E138" s="66">
        <v>5.0000000000000002E-5</v>
      </c>
      <c r="F138" s="66">
        <f>_xlfn.IFNA(INDEX('hp (pSv cm2)'!$B$2:$B$52,MATCH($C138,'hp (pSv cm2)'!$A$2:$A$52,1))+($C138-INDEX('hp (pSv cm2)'!$A$2:$A$52,MATCH($C138,'hp (pSv cm2)'!$A$2:$A$52,1)))*(INDEX('hp (pSv cm2)'!$B$2:$B$52,MATCH($C138,'hp (pSv cm2)'!$A$2:$A$52,1)+1)-INDEX('hp (pSv cm2)'!$B$2:$B$52,MATCH($C138,'hp (pSv cm2)'!$A$2:$A$52,1)))/(INDEX('hp (pSv cm2)'!$A$2:$A$52,MATCH($C138,'hp (pSv cm2)'!$A$2:$A$52,1)+1)-INDEX('hp (pSv cm2)'!$A$2:$A$52,MATCH($C138,'hp (pSv cm2)'!$A$2:$A$52,1))),$C138*'hp (pSv cm2)'!$B$2/'hp (pSv cm2)'!$A$2)</f>
        <v>1.9298809999999997</v>
      </c>
      <c r="G138" s="67">
        <f t="shared" si="11"/>
        <v>9.6494049999999991E-5</v>
      </c>
      <c r="H138" s="83">
        <f>_xlfn.IFNA(0.997*(INDEX('Mass attenuation coefficients'!$B$2:$B$37,MATCH($C138,'Mass attenuation coefficients'!$A$2:$A$37,1))+($C138-INDEX('Mass attenuation coefficients'!$A$2:$A$37,MATCH($C138,'Mass attenuation coefficients'!$A$2:$A$37,1)))*(INDEX('Mass attenuation coefficients'!$B$2:$B$37,MATCH($C138,'Mass attenuation coefficients'!$A$2:$A$37,1)+1)-INDEX('Mass attenuation coefficients'!$B$2:$B$37,MATCH($C138,'Mass attenuation coefficients'!$A$2:$A$37,1)))/(INDEX('Mass attenuation coefficients'!$A$2:$A$37,MATCH($C138,'Mass attenuation coefficients'!$A$2:$A$37,1)+1)-INDEX('Mass attenuation coefficients'!$A$2:$A$37,MATCH($C138,'Mass attenuation coefficients'!$A$2:$A$37,1)))),0.997*$C138*'Mass attenuation coefficients'!$B$2/'Mass attenuation coefficients'!$A$2)</f>
        <v>0.10756508375</v>
      </c>
      <c r="I138" s="83">
        <f>_xlfn.IFNA(INDEX('Shultis Faw'!$C$2:$C$26,MATCH($C138,'Shultis Faw'!$A$2:$A$26,1))+($C138-INDEX('Shultis Faw'!$A$2:$A$26,MATCH($C138,'Shultis Faw'!$A$2:$A$26,1)))*(INDEX('Shultis Faw'!$C$2:$C$26,MATCH($C138,'Shultis Faw'!$A$2:$A$26,1)+1)-INDEX('Shultis Faw'!$C$2:$C$26,MATCH($C138,'Shultis Faw'!$A$2:$A$26,1)))/(INDEX('Shultis Faw'!$A$2:$A$26,MATCH($C138,'Shultis Faw'!$A$2:$A$26,1)+1)-INDEX('Shultis Faw'!$A$2:$A$26,MATCH($C138,'Shultis Faw'!$A$2:$A$26,1))),$C138*'Shultis Faw'!$C$2/'Shultis Faw'!$A$2)</f>
        <v>2.6972060000000004</v>
      </c>
      <c r="J138" s="83">
        <f>_xlfn.IFNA(INDEX('Shultis Faw'!$D$2:$D$26,MATCH($C138,'Shultis Faw'!$A$2:$A$26,1))+($C138-INDEX('Shultis Faw'!$A$2:$A$26,MATCH($C138,'Shultis Faw'!$A$2:$A$26,1)))*(INDEX('Shultis Faw'!$D$2:$D$26,MATCH($C138,'Shultis Faw'!$A$2:$A$26,1)+1)-INDEX('Shultis Faw'!$D$2:$D$26,MATCH($C138,'Shultis Faw'!$A$2:$A$26,1)))/(INDEX('Shultis Faw'!$A$2:$A$26,MATCH($C138,'Shultis Faw'!$A$2:$A$26,1)+1)-INDEX('Shultis Faw'!$A$2:$A$26,MATCH($C138,'Shultis Faw'!$A$2:$A$26,1))),$C138*'Shultis Faw'!$D$2/'Shultis Faw'!$A$2)</f>
        <v>1.902034</v>
      </c>
      <c r="K138" s="83">
        <f>_xlfn.IFNA(INDEX('Shultis Faw'!$B$2:$B$26,MATCH($C138,'Shultis Faw'!$A$2:$A$26,1))+($C138-INDEX('Shultis Faw'!$A$2:$A$26,MATCH($C138,'Shultis Faw'!$A$2:$A$26,1)))*(INDEX('Shultis Faw'!$B$2:$B$26,MATCH($C138,'Shultis Faw'!$A$2:$A$26,1)+1)-INDEX('Shultis Faw'!$B$2:$B$26,MATCH($C138,'Shultis Faw'!$A$2:$A$26,1)))/(INDEX('Shultis Faw'!$A$2:$A$26,MATCH($C138,'Shultis Faw'!$A$2:$A$26,1)+1)-INDEX('Shultis Faw'!$A$2:$A$26,MATCH($C138,'Shultis Faw'!$A$2:$A$26,1))),$C138*'Shultis Faw'!$B$2/'Shultis Faw'!$A$2)</f>
        <v>-0.15114649999999999</v>
      </c>
      <c r="L138" s="83">
        <f>_xlfn.IFNA(INDEX('Shultis Faw'!$E$2:$E$26,MATCH($C138,'Shultis Faw'!$A$2:$A$26,1))+($C138-INDEX('Shultis Faw'!$A$2:$A$26,MATCH($C138,'Shultis Faw'!$A$2:$A$26,1)))*(INDEX('Shultis Faw'!$E$2:$E$26,MATCH($C138,'Shultis Faw'!$A$2:$A$26,1)+1)-INDEX('Shultis Faw'!$E$2:$E$26,MATCH($C138,'Shultis Faw'!$A$2:$A$26,1)))/(INDEX('Shultis Faw'!$A$2:$A$26,MATCH($C138,'Shultis Faw'!$A$2:$A$26,1)+1)-INDEX('Shultis Faw'!$A$2:$A$26,MATCH($C138,'Shultis Faw'!$A$2:$A$26,1))),$C138*'Shultis Faw'!$E$2/'Shultis Faw'!$A$2)</f>
        <v>6.0358599999999998E-2</v>
      </c>
      <c r="M138" s="83">
        <f>_xlfn.IFNA(INDEX('Shultis Faw'!$F$2:$F$26,MATCH($C138,'Shultis Faw'!$A$2:$A$26,1))+($C138-INDEX('Shultis Faw'!$A$2:$A$26,MATCH($C138,'Shultis Faw'!$A$2:$A$26,1)))*(INDEX('Shultis Faw'!$F$2:$F$26,MATCH($C138,'Shultis Faw'!$A$2:$A$26,1)+1)-INDEX('Shultis Faw'!$F$2:$F$26,MATCH($C138,'Shultis Faw'!$A$2:$A$26,1)))/(INDEX('Shultis Faw'!$A$2:$A$26,MATCH($C138,'Shultis Faw'!$A$2:$A$26,1)+1)-INDEX('Shultis Faw'!$A$2:$A$26,MATCH($C138,'Shultis Faw'!$A$2:$A$26,1))),$C138*'Shultis Faw'!$F$2/'Shultis Faw'!$A$2)</f>
        <v>14.235707</v>
      </c>
      <c r="N138" s="83">
        <f>J138*(H138*'Externe blootstelling'!$D$23/2)^K138+L138*(TANH(((H138*'Externe blootstelling'!$D$23)/(2*M138))-2)-TANH(-2))/(1-TANH(-2))</f>
        <v>1.7696328545624704</v>
      </c>
      <c r="O138" s="83">
        <f>IF(N138=1,1+(I138-1)*H138*'Externe blootstelling'!$D$23/2,1+(I138-1)*(N138^(H138*'Externe blootstelling'!$D$23/2)-1)/(N138-1))</f>
        <v>4.333443193648959</v>
      </c>
      <c r="P138" s="67">
        <f>G138*EXP(-H138*'Externe blootstelling'!$D$23/2)*O138</f>
        <v>8.3293249961600047E-5</v>
      </c>
      <c r="Q138" s="68"/>
    </row>
    <row r="139" spans="1:17" x14ac:dyDescent="0.2">
      <c r="A139" s="217"/>
      <c r="B139" s="64" t="s">
        <v>104</v>
      </c>
      <c r="C139" s="66">
        <v>0.38789999999999997</v>
      </c>
      <c r="D139" s="66">
        <f t="shared" si="10"/>
        <v>6.2063999999999989E-14</v>
      </c>
      <c r="E139" s="66">
        <v>2.9600000000000001E-5</v>
      </c>
      <c r="F139" s="66">
        <f>_xlfn.IFNA(INDEX('hp (pSv cm2)'!$B$2:$B$52,MATCH($C139,'hp (pSv cm2)'!$A$2:$A$52,1))+($C139-INDEX('hp (pSv cm2)'!$A$2:$A$52,MATCH($C139,'hp (pSv cm2)'!$A$2:$A$52,1)))*(INDEX('hp (pSv cm2)'!$B$2:$B$52,MATCH($C139,'hp (pSv cm2)'!$A$2:$A$52,1)+1)-INDEX('hp (pSv cm2)'!$B$2:$B$52,MATCH($C139,'hp (pSv cm2)'!$A$2:$A$52,1)))/(INDEX('hp (pSv cm2)'!$A$2:$A$52,MATCH($C139,'hp (pSv cm2)'!$A$2:$A$52,1)+1)-INDEX('hp (pSv cm2)'!$A$2:$A$52,MATCH($C139,'hp (pSv cm2)'!$A$2:$A$52,1))),$C139*'hp (pSv cm2)'!$B$2/'hp (pSv cm2)'!$A$2)</f>
        <v>1.9407099999999997</v>
      </c>
      <c r="G139" s="67">
        <f t="shared" si="11"/>
        <v>5.7445015999999993E-5</v>
      </c>
      <c r="H139" s="83">
        <f>_xlfn.IFNA(0.997*(INDEX('Mass attenuation coefficients'!$B$2:$B$37,MATCH($C139,'Mass attenuation coefficients'!$A$2:$A$37,1))+($C139-INDEX('Mass attenuation coefficients'!$A$2:$A$37,MATCH($C139,'Mass attenuation coefficients'!$A$2:$A$37,1)))*(INDEX('Mass attenuation coefficients'!$B$2:$B$37,MATCH($C139,'Mass attenuation coefficients'!$A$2:$A$37,1)+1)-INDEX('Mass attenuation coefficients'!$B$2:$B$37,MATCH($C139,'Mass attenuation coefficients'!$A$2:$A$37,1)))/(INDEX('Mass attenuation coefficients'!$A$2:$A$37,MATCH($C139,'Mass attenuation coefficients'!$A$2:$A$37,1)+1)-INDEX('Mass attenuation coefficients'!$A$2:$A$37,MATCH($C139,'Mass attenuation coefficients'!$A$2:$A$37,1)))),0.997*$C139*'Mass attenuation coefficients'!$B$2/'Mass attenuation coefficients'!$A$2)</f>
        <v>0.10728966249999999</v>
      </c>
      <c r="I139" s="83">
        <f>_xlfn.IFNA(INDEX('Shultis Faw'!$C$2:$C$26,MATCH($C139,'Shultis Faw'!$A$2:$A$26,1))+($C139-INDEX('Shultis Faw'!$A$2:$A$26,MATCH($C139,'Shultis Faw'!$A$2:$A$26,1)))*(INDEX('Shultis Faw'!$C$2:$C$26,MATCH($C139,'Shultis Faw'!$A$2:$A$26,1)+1)-INDEX('Shultis Faw'!$C$2:$C$26,MATCH($C139,'Shultis Faw'!$A$2:$A$26,1)))/(INDEX('Shultis Faw'!$A$2:$A$26,MATCH($C139,'Shultis Faw'!$A$2:$A$26,1)+1)-INDEX('Shultis Faw'!$A$2:$A$26,MATCH($C139,'Shultis Faw'!$A$2:$A$26,1))),$C139*'Shultis Faw'!$C$2/'Shultis Faw'!$A$2)</f>
        <v>2.6914600000000002</v>
      </c>
      <c r="J139" s="83">
        <f>_xlfn.IFNA(INDEX('Shultis Faw'!$D$2:$D$26,MATCH($C139,'Shultis Faw'!$A$2:$A$26,1))+($C139-INDEX('Shultis Faw'!$A$2:$A$26,MATCH($C139,'Shultis Faw'!$A$2:$A$26,1)))*(INDEX('Shultis Faw'!$D$2:$D$26,MATCH($C139,'Shultis Faw'!$A$2:$A$26,1)+1)-INDEX('Shultis Faw'!$D$2:$D$26,MATCH($C139,'Shultis Faw'!$A$2:$A$26,1)))/(INDEX('Shultis Faw'!$A$2:$A$26,MATCH($C139,'Shultis Faw'!$A$2:$A$26,1)+1)-INDEX('Shultis Faw'!$A$2:$A$26,MATCH($C139,'Shultis Faw'!$A$2:$A$26,1))),$C139*'Shultis Faw'!$D$2/'Shultis Faw'!$A$2)</f>
        <v>1.8989399999999999</v>
      </c>
      <c r="K139" s="83">
        <f>_xlfn.IFNA(INDEX('Shultis Faw'!$B$2:$B$26,MATCH($C139,'Shultis Faw'!$A$2:$A$26,1))+($C139-INDEX('Shultis Faw'!$A$2:$A$26,MATCH($C139,'Shultis Faw'!$A$2:$A$26,1)))*(INDEX('Shultis Faw'!$B$2:$B$26,MATCH($C139,'Shultis Faw'!$A$2:$A$26,1)+1)-INDEX('Shultis Faw'!$B$2:$B$26,MATCH($C139,'Shultis Faw'!$A$2:$A$26,1)))/(INDEX('Shultis Faw'!$A$2:$A$26,MATCH($C139,'Shultis Faw'!$A$2:$A$26,1)+1)-INDEX('Shultis Faw'!$A$2:$A$26,MATCH($C139,'Shultis Faw'!$A$2:$A$26,1))),$C139*'Shultis Faw'!$B$2/'Shultis Faw'!$A$2)</f>
        <v>-0.150815</v>
      </c>
      <c r="L139" s="83">
        <f>_xlfn.IFNA(INDEX('Shultis Faw'!$E$2:$E$26,MATCH($C139,'Shultis Faw'!$A$2:$A$26,1))+($C139-INDEX('Shultis Faw'!$A$2:$A$26,MATCH($C139,'Shultis Faw'!$A$2:$A$26,1)))*(INDEX('Shultis Faw'!$E$2:$E$26,MATCH($C139,'Shultis Faw'!$A$2:$A$26,1)+1)-INDEX('Shultis Faw'!$E$2:$E$26,MATCH($C139,'Shultis Faw'!$A$2:$A$26,1)))/(INDEX('Shultis Faw'!$A$2:$A$26,MATCH($C139,'Shultis Faw'!$A$2:$A$26,1)+1)-INDEX('Shultis Faw'!$A$2:$A$26,MATCH($C139,'Shultis Faw'!$A$2:$A$26,1))),$C139*'Shultis Faw'!$E$2/'Shultis Faw'!$A$2)</f>
        <v>6.0226000000000002E-2</v>
      </c>
      <c r="M139" s="83">
        <f>_xlfn.IFNA(INDEX('Shultis Faw'!$F$2:$F$26,MATCH($C139,'Shultis Faw'!$A$2:$A$26,1))+($C139-INDEX('Shultis Faw'!$A$2:$A$26,MATCH($C139,'Shultis Faw'!$A$2:$A$26,1)))*(INDEX('Shultis Faw'!$F$2:$F$26,MATCH($C139,'Shultis Faw'!$A$2:$A$26,1)+1)-INDEX('Shultis Faw'!$F$2:$F$26,MATCH($C139,'Shultis Faw'!$A$2:$A$26,1)))/(INDEX('Shultis Faw'!$A$2:$A$26,MATCH($C139,'Shultis Faw'!$A$2:$A$26,1)+1)-INDEX('Shultis Faw'!$A$2:$A$26,MATCH($C139,'Shultis Faw'!$A$2:$A$26,1))),$C139*'Shultis Faw'!$F$2/'Shultis Faw'!$A$2)</f>
        <v>14.236370000000001</v>
      </c>
      <c r="N139" s="83">
        <f>J139*(H139*'Externe blootstelling'!$D$23/2)^K139+L139*(TANH(((H139*'Externe blootstelling'!$D$23)/(2*M139))-2)-TANH(-2))/(1-TANH(-2))</f>
        <v>1.7677167031669503</v>
      </c>
      <c r="O139" s="83">
        <f>IF(N139=1,1+(I139-1)*H139*'Externe blootstelling'!$D$23/2,1+(I139-1)*(N139^(H139*'Externe blootstelling'!$D$23/2)-1)/(N139-1))</f>
        <v>4.3077990591156716</v>
      </c>
      <c r="P139" s="67">
        <f>G139*EXP(-H139*'Externe blootstelling'!$D$23/2)*O139</f>
        <v>4.9496918933985568E-5</v>
      </c>
      <c r="Q139" s="68"/>
    </row>
    <row r="140" spans="1:17" x14ac:dyDescent="0.2">
      <c r="A140" s="217"/>
      <c r="B140" s="64" t="s">
        <v>104</v>
      </c>
      <c r="C140" s="66">
        <v>0.39132</v>
      </c>
      <c r="D140" s="66">
        <f t="shared" si="10"/>
        <v>6.2611199999999996E-14</v>
      </c>
      <c r="E140" s="66">
        <v>1.2500000000000001E-5</v>
      </c>
      <c r="F140" s="66">
        <f>_xlfn.IFNA(INDEX('hp (pSv cm2)'!$B$2:$B$52,MATCH($C140,'hp (pSv cm2)'!$A$2:$A$52,1))+($C140-INDEX('hp (pSv cm2)'!$A$2:$A$52,MATCH($C140,'hp (pSv cm2)'!$A$2:$A$52,1)))*(INDEX('hp (pSv cm2)'!$B$2:$B$52,MATCH($C140,'hp (pSv cm2)'!$A$2:$A$52,1)+1)-INDEX('hp (pSv cm2)'!$B$2:$B$52,MATCH($C140,'hp (pSv cm2)'!$A$2:$A$52,1)))/(INDEX('hp (pSv cm2)'!$A$2:$A$52,MATCH($C140,'hp (pSv cm2)'!$A$2:$A$52,1)+1)-INDEX('hp (pSv cm2)'!$A$2:$A$52,MATCH($C140,'hp (pSv cm2)'!$A$2:$A$52,1))),$C140*'hp (pSv cm2)'!$B$2/'hp (pSv cm2)'!$A$2)</f>
        <v>1.957468</v>
      </c>
      <c r="G140" s="67">
        <f t="shared" si="11"/>
        <v>2.4468350000000001E-5</v>
      </c>
      <c r="H140" s="83">
        <f>_xlfn.IFNA(0.997*(INDEX('Mass attenuation coefficients'!$B$2:$B$37,MATCH($C140,'Mass attenuation coefficients'!$A$2:$A$37,1))+($C140-INDEX('Mass attenuation coefficients'!$A$2:$A$37,MATCH($C140,'Mass attenuation coefficients'!$A$2:$A$37,1)))*(INDEX('Mass attenuation coefficients'!$B$2:$B$37,MATCH($C140,'Mass attenuation coefficients'!$A$2:$A$37,1)+1)-INDEX('Mass attenuation coefficients'!$B$2:$B$37,MATCH($C140,'Mass attenuation coefficients'!$A$2:$A$37,1)))/(INDEX('Mass attenuation coefficients'!$A$2:$A$37,MATCH($C140,'Mass attenuation coefficients'!$A$2:$A$37,1)+1)-INDEX('Mass attenuation coefficients'!$A$2:$A$37,MATCH($C140,'Mass attenuation coefficients'!$A$2:$A$37,1)))),0.997*$C140*'Mass attenuation coefficients'!$B$2/'Mass attenuation coefficients'!$A$2)</f>
        <v>0.106863445</v>
      </c>
      <c r="I140" s="83">
        <f>_xlfn.IFNA(INDEX('Shultis Faw'!$C$2:$C$26,MATCH($C140,'Shultis Faw'!$A$2:$A$26,1))+($C140-INDEX('Shultis Faw'!$A$2:$A$26,MATCH($C140,'Shultis Faw'!$A$2:$A$26,1)))*(INDEX('Shultis Faw'!$C$2:$C$26,MATCH($C140,'Shultis Faw'!$A$2:$A$26,1)+1)-INDEX('Shultis Faw'!$C$2:$C$26,MATCH($C140,'Shultis Faw'!$A$2:$A$26,1)))/(INDEX('Shultis Faw'!$A$2:$A$26,MATCH($C140,'Shultis Faw'!$A$2:$A$26,1)+1)-INDEX('Shultis Faw'!$A$2:$A$26,MATCH($C140,'Shultis Faw'!$A$2:$A$26,1))),$C140*'Shultis Faw'!$C$2/'Shultis Faw'!$A$2)</f>
        <v>2.6825680000000003</v>
      </c>
      <c r="J140" s="83">
        <f>_xlfn.IFNA(INDEX('Shultis Faw'!$D$2:$D$26,MATCH($C140,'Shultis Faw'!$A$2:$A$26,1))+($C140-INDEX('Shultis Faw'!$A$2:$A$26,MATCH($C140,'Shultis Faw'!$A$2:$A$26,1)))*(INDEX('Shultis Faw'!$D$2:$D$26,MATCH($C140,'Shultis Faw'!$A$2:$A$26,1)+1)-INDEX('Shultis Faw'!$D$2:$D$26,MATCH($C140,'Shultis Faw'!$A$2:$A$26,1)))/(INDEX('Shultis Faw'!$A$2:$A$26,MATCH($C140,'Shultis Faw'!$A$2:$A$26,1)+1)-INDEX('Shultis Faw'!$A$2:$A$26,MATCH($C140,'Shultis Faw'!$A$2:$A$26,1))),$C140*'Shultis Faw'!$D$2/'Shultis Faw'!$A$2)</f>
        <v>1.8941519999999998</v>
      </c>
      <c r="K140" s="83">
        <f>_xlfn.IFNA(INDEX('Shultis Faw'!$B$2:$B$26,MATCH($C140,'Shultis Faw'!$A$2:$A$26,1))+($C140-INDEX('Shultis Faw'!$A$2:$A$26,MATCH($C140,'Shultis Faw'!$A$2:$A$26,1)))*(INDEX('Shultis Faw'!$B$2:$B$26,MATCH($C140,'Shultis Faw'!$A$2:$A$26,1)+1)-INDEX('Shultis Faw'!$B$2:$B$26,MATCH($C140,'Shultis Faw'!$A$2:$A$26,1)))/(INDEX('Shultis Faw'!$A$2:$A$26,MATCH($C140,'Shultis Faw'!$A$2:$A$26,1)+1)-INDEX('Shultis Faw'!$A$2:$A$26,MATCH($C140,'Shultis Faw'!$A$2:$A$26,1))),$C140*'Shultis Faw'!$B$2/'Shultis Faw'!$A$2)</f>
        <v>-0.15030199999999999</v>
      </c>
      <c r="L140" s="83">
        <f>_xlfn.IFNA(INDEX('Shultis Faw'!$E$2:$E$26,MATCH($C140,'Shultis Faw'!$A$2:$A$26,1))+($C140-INDEX('Shultis Faw'!$A$2:$A$26,MATCH($C140,'Shultis Faw'!$A$2:$A$26,1)))*(INDEX('Shultis Faw'!$E$2:$E$26,MATCH($C140,'Shultis Faw'!$A$2:$A$26,1)+1)-INDEX('Shultis Faw'!$E$2:$E$26,MATCH($C140,'Shultis Faw'!$A$2:$A$26,1)))/(INDEX('Shultis Faw'!$A$2:$A$26,MATCH($C140,'Shultis Faw'!$A$2:$A$26,1)+1)-INDEX('Shultis Faw'!$A$2:$A$26,MATCH($C140,'Shultis Faw'!$A$2:$A$26,1))),$C140*'Shultis Faw'!$E$2/'Shultis Faw'!$A$2)</f>
        <v>6.0020799999999999E-2</v>
      </c>
      <c r="M140" s="83">
        <f>_xlfn.IFNA(INDEX('Shultis Faw'!$F$2:$F$26,MATCH($C140,'Shultis Faw'!$A$2:$A$26,1))+($C140-INDEX('Shultis Faw'!$A$2:$A$26,MATCH($C140,'Shultis Faw'!$A$2:$A$26,1)))*(INDEX('Shultis Faw'!$F$2:$F$26,MATCH($C140,'Shultis Faw'!$A$2:$A$26,1)+1)-INDEX('Shultis Faw'!$F$2:$F$26,MATCH($C140,'Shultis Faw'!$A$2:$A$26,1)))/(INDEX('Shultis Faw'!$A$2:$A$26,MATCH($C140,'Shultis Faw'!$A$2:$A$26,1)+1)-INDEX('Shultis Faw'!$A$2:$A$26,MATCH($C140,'Shultis Faw'!$A$2:$A$26,1))),$C140*'Shultis Faw'!$F$2/'Shultis Faw'!$A$2)</f>
        <v>14.237396</v>
      </c>
      <c r="N140" s="83">
        <f>J140*(H140*'Externe blootstelling'!$D$23/2)^K140+L140*(TANH(((H140*'Externe blootstelling'!$D$23)/(2*M140))-2)-TANH(-2))/(1-TANH(-2))</f>
        <v>1.7647438261837916</v>
      </c>
      <c r="O140" s="83">
        <f>IF(N140=1,1+(I140-1)*H140*'Externe blootstelling'!$D$23/2,1+(I140-1)*(N140^(H140*'Externe blootstelling'!$D$23/2)-1)/(N140-1))</f>
        <v>4.2684189407676545</v>
      </c>
      <c r="P140" s="67">
        <f>G140*EXP(-H140*'Externe blootstelling'!$D$23/2)*O140</f>
        <v>2.1024160110217291E-5</v>
      </c>
      <c r="Q140" s="68"/>
    </row>
    <row r="141" spans="1:17" x14ac:dyDescent="0.2">
      <c r="A141" s="217"/>
      <c r="B141" s="64" t="s">
        <v>104</v>
      </c>
      <c r="C141" s="66">
        <v>0.40673999999999999</v>
      </c>
      <c r="D141" s="66">
        <f t="shared" si="10"/>
        <v>6.5078399999999997E-14</v>
      </c>
      <c r="E141" s="66">
        <v>8.3000000000000002E-6</v>
      </c>
      <c r="F141" s="66">
        <f>_xlfn.IFNA(INDEX('hp (pSv cm2)'!$B$2:$B$52,MATCH($C141,'hp (pSv cm2)'!$A$2:$A$52,1))+($C141-INDEX('hp (pSv cm2)'!$A$2:$A$52,MATCH($C141,'hp (pSv cm2)'!$A$2:$A$52,1)))*(INDEX('hp (pSv cm2)'!$B$2:$B$52,MATCH($C141,'hp (pSv cm2)'!$A$2:$A$52,1)+1)-INDEX('hp (pSv cm2)'!$B$2:$B$52,MATCH($C141,'hp (pSv cm2)'!$A$2:$A$52,1)))/(INDEX('hp (pSv cm2)'!$A$2:$A$52,MATCH($C141,'hp (pSv cm2)'!$A$2:$A$52,1)+1)-INDEX('hp (pSv cm2)'!$A$2:$A$52,MATCH($C141,'hp (pSv cm2)'!$A$2:$A$52,1))),$C141*'hp (pSv cm2)'!$B$2/'hp (pSv cm2)'!$A$2)</f>
        <v>2.0316779999999999</v>
      </c>
      <c r="G141" s="67">
        <f t="shared" si="11"/>
        <v>1.6862927399999998E-5</v>
      </c>
      <c r="H141" s="83">
        <f>_xlfn.IFNA(0.997*(INDEX('Mass attenuation coefficients'!$B$2:$B$37,MATCH($C141,'Mass attenuation coefficients'!$A$2:$A$37,1))+($C141-INDEX('Mass attenuation coefficients'!$A$2:$A$37,MATCH($C141,'Mass attenuation coefficients'!$A$2:$A$37,1)))*(INDEX('Mass attenuation coefficients'!$B$2:$B$37,MATCH($C141,'Mass attenuation coefficients'!$A$2:$A$37,1)+1)-INDEX('Mass attenuation coefficients'!$B$2:$B$37,MATCH($C141,'Mass attenuation coefficients'!$A$2:$A$37,1)))/(INDEX('Mass attenuation coefficients'!$A$2:$A$37,MATCH($C141,'Mass attenuation coefficients'!$A$2:$A$37,1)+1)-INDEX('Mass attenuation coefficients'!$A$2:$A$37,MATCH($C141,'Mass attenuation coefficients'!$A$2:$A$37,1)))),0.997*$C141*'Mass attenuation coefficients'!$B$2/'Mass attenuation coefficients'!$A$2)</f>
        <v>0.105161464306</v>
      </c>
      <c r="I141" s="83">
        <f>_xlfn.IFNA(INDEX('Shultis Faw'!$C$2:$C$26,MATCH($C141,'Shultis Faw'!$A$2:$A$26,1))+($C141-INDEX('Shultis Faw'!$A$2:$A$26,MATCH($C141,'Shultis Faw'!$A$2:$A$26,1)))*(INDEX('Shultis Faw'!$C$2:$C$26,MATCH($C141,'Shultis Faw'!$A$2:$A$26,1)+1)-INDEX('Shultis Faw'!$C$2:$C$26,MATCH($C141,'Shultis Faw'!$A$2:$A$26,1)))/(INDEX('Shultis Faw'!$A$2:$A$26,MATCH($C141,'Shultis Faw'!$A$2:$A$26,1)+1)-INDEX('Shultis Faw'!$A$2:$A$26,MATCH($C141,'Shultis Faw'!$A$2:$A$26,1))),$C141*'Shultis Faw'!$C$2/'Shultis Faw'!$A$2)</f>
        <v>2.649216</v>
      </c>
      <c r="J141" s="83">
        <f>_xlfn.IFNA(INDEX('Shultis Faw'!$D$2:$D$26,MATCH($C141,'Shultis Faw'!$A$2:$A$26,1))+($C141-INDEX('Shultis Faw'!$A$2:$A$26,MATCH($C141,'Shultis Faw'!$A$2:$A$26,1)))*(INDEX('Shultis Faw'!$D$2:$D$26,MATCH($C141,'Shultis Faw'!$A$2:$A$26,1)+1)-INDEX('Shultis Faw'!$D$2:$D$26,MATCH($C141,'Shultis Faw'!$A$2:$A$26,1)))/(INDEX('Shultis Faw'!$A$2:$A$26,MATCH($C141,'Shultis Faw'!$A$2:$A$26,1)+1)-INDEX('Shultis Faw'!$A$2:$A$26,MATCH($C141,'Shultis Faw'!$A$2:$A$26,1))),$C141*'Shultis Faw'!$D$2/'Shultis Faw'!$A$2)</f>
        <v>1.8741816</v>
      </c>
      <c r="K141" s="83">
        <f>_xlfn.IFNA(INDEX('Shultis Faw'!$B$2:$B$26,MATCH($C141,'Shultis Faw'!$A$2:$A$26,1))+($C141-INDEX('Shultis Faw'!$A$2:$A$26,MATCH($C141,'Shultis Faw'!$A$2:$A$26,1)))*(INDEX('Shultis Faw'!$B$2:$B$26,MATCH($C141,'Shultis Faw'!$A$2:$A$26,1)+1)-INDEX('Shultis Faw'!$B$2:$B$26,MATCH($C141,'Shultis Faw'!$A$2:$A$26,1)))/(INDEX('Shultis Faw'!$A$2:$A$26,MATCH($C141,'Shultis Faw'!$A$2:$A$26,1)+1)-INDEX('Shultis Faw'!$A$2:$A$26,MATCH($C141,'Shultis Faw'!$A$2:$A$26,1))),$C141*'Shultis Faw'!$B$2/'Shultis Faw'!$A$2)</f>
        <v>-0.1480564</v>
      </c>
      <c r="L141" s="83">
        <f>_xlfn.IFNA(INDEX('Shultis Faw'!$E$2:$E$26,MATCH($C141,'Shultis Faw'!$A$2:$A$26,1))+($C141-INDEX('Shultis Faw'!$A$2:$A$26,MATCH($C141,'Shultis Faw'!$A$2:$A$26,1)))*(INDEX('Shultis Faw'!$E$2:$E$26,MATCH($C141,'Shultis Faw'!$A$2:$A$26,1)+1)-INDEX('Shultis Faw'!$E$2:$E$26,MATCH($C141,'Shultis Faw'!$A$2:$A$26,1)))/(INDEX('Shultis Faw'!$A$2:$A$26,MATCH($C141,'Shultis Faw'!$A$2:$A$26,1)+1)-INDEX('Shultis Faw'!$A$2:$A$26,MATCH($C141,'Shultis Faw'!$A$2:$A$26,1))),$C141*'Shultis Faw'!$E$2/'Shultis Faw'!$A$2)</f>
        <v>5.9169739999999998E-2</v>
      </c>
      <c r="M141" s="83">
        <f>_xlfn.IFNA(INDEX('Shultis Faw'!$F$2:$F$26,MATCH($C141,'Shultis Faw'!$A$2:$A$26,1))+($C141-INDEX('Shultis Faw'!$A$2:$A$26,MATCH($C141,'Shultis Faw'!$A$2:$A$26,1)))*(INDEX('Shultis Faw'!$F$2:$F$26,MATCH($C141,'Shultis Faw'!$A$2:$A$26,1)+1)-INDEX('Shultis Faw'!$F$2:$F$26,MATCH($C141,'Shultis Faw'!$A$2:$A$26,1)))/(INDEX('Shultis Faw'!$A$2:$A$26,MATCH($C141,'Shultis Faw'!$A$2:$A$26,1)+1)-INDEX('Shultis Faw'!$A$2:$A$26,MATCH($C141,'Shultis Faw'!$A$2:$A$26,1))),$C141*'Shultis Faw'!$F$2/'Shultis Faw'!$A$2)</f>
        <v>14.246066000000001</v>
      </c>
      <c r="N141" s="83">
        <f>J141*(H141*'Externe blootstelling'!$D$23/2)^K141+L141*(TANH(((H141*'Externe blootstelling'!$D$23)/(2*M141))-2)-TANH(-2))/(1-TANH(-2))</f>
        <v>1.752142094695011</v>
      </c>
      <c r="O141" s="83">
        <f>IF(N141=1,1+(I141-1)*H141*'Externe blootstelling'!$D$23/2,1+(I141-1)*(N141^(H141*'Externe blootstelling'!$D$23/2)-1)/(N141-1))</f>
        <v>4.1184662295844143</v>
      </c>
      <c r="P141" s="67">
        <f>G141*EXP(-H141*'Externe blootstelling'!$D$23/2)*O141</f>
        <v>1.4341772351557012E-5</v>
      </c>
      <c r="Q141" s="68"/>
    </row>
    <row r="142" spans="1:17" x14ac:dyDescent="0.2">
      <c r="A142" s="217"/>
      <c r="B142" s="64" t="s">
        <v>104</v>
      </c>
      <c r="C142" s="66">
        <v>0.4111165</v>
      </c>
      <c r="D142" s="66">
        <f t="shared" si="10"/>
        <v>6.5778639999999991E-14</v>
      </c>
      <c r="E142" s="66">
        <v>2.2380000000000001E-2</v>
      </c>
      <c r="F142" s="66">
        <f>_xlfn.IFNA(INDEX('hp (pSv cm2)'!$B$2:$B$52,MATCH($C142,'hp (pSv cm2)'!$A$2:$A$52,1))+($C142-INDEX('hp (pSv cm2)'!$A$2:$A$52,MATCH($C142,'hp (pSv cm2)'!$A$2:$A$52,1)))*(INDEX('hp (pSv cm2)'!$B$2:$B$52,MATCH($C142,'hp (pSv cm2)'!$A$2:$A$52,1)+1)-INDEX('hp (pSv cm2)'!$B$2:$B$52,MATCH($C142,'hp (pSv cm2)'!$A$2:$A$52,1)))/(INDEX('hp (pSv cm2)'!$A$2:$A$52,MATCH($C142,'hp (pSv cm2)'!$A$2:$A$52,1)+1)-INDEX('hp (pSv cm2)'!$A$2:$A$52,MATCH($C142,'hp (pSv cm2)'!$A$2:$A$52,1))),$C142*'hp (pSv cm2)'!$B$2/'hp (pSv cm2)'!$A$2)</f>
        <v>2.0522475499999997</v>
      </c>
      <c r="G142" s="67">
        <f t="shared" si="11"/>
        <v>4.5929300168999994E-2</v>
      </c>
      <c r="H142" s="83">
        <f>_xlfn.IFNA(0.997*(INDEX('Mass attenuation coefficients'!$B$2:$B$37,MATCH($C142,'Mass attenuation coefficients'!$A$2:$A$37,1))+($C142-INDEX('Mass attenuation coefficients'!$A$2:$A$37,MATCH($C142,'Mass attenuation coefficients'!$A$2:$A$37,1)))*(INDEX('Mass attenuation coefficients'!$B$2:$B$37,MATCH($C142,'Mass attenuation coefficients'!$A$2:$A$37,1)+1)-INDEX('Mass attenuation coefficients'!$B$2:$B$37,MATCH($C142,'Mass attenuation coefficients'!$A$2:$A$37,1)))/(INDEX('Mass attenuation coefficients'!$A$2:$A$37,MATCH($C142,'Mass attenuation coefficients'!$A$2:$A$37,1)+1)-INDEX('Mass attenuation coefficients'!$A$2:$A$37,MATCH($C142,'Mass attenuation coefficients'!$A$2:$A$37,1)))),0.997*$C142*'Mass attenuation coefficients'!$B$2/'Mass attenuation coefficients'!$A$2)</f>
        <v>0.10475872520885</v>
      </c>
      <c r="I142" s="83">
        <f>_xlfn.IFNA(INDEX('Shultis Faw'!$C$2:$C$26,MATCH($C142,'Shultis Faw'!$A$2:$A$26,1))+($C142-INDEX('Shultis Faw'!$A$2:$A$26,MATCH($C142,'Shultis Faw'!$A$2:$A$26,1)))*(INDEX('Shultis Faw'!$C$2:$C$26,MATCH($C142,'Shultis Faw'!$A$2:$A$26,1)+1)-INDEX('Shultis Faw'!$C$2:$C$26,MATCH($C142,'Shultis Faw'!$A$2:$A$26,1)))/(INDEX('Shultis Faw'!$A$2:$A$26,MATCH($C142,'Shultis Faw'!$A$2:$A$26,1)+1)-INDEX('Shultis Faw'!$A$2:$A$26,MATCH($C142,'Shultis Faw'!$A$2:$A$26,1))),$C142*'Shultis Faw'!$C$2/'Shultis Faw'!$A$2)</f>
        <v>2.6422136000000003</v>
      </c>
      <c r="J142" s="83">
        <f>_xlfn.IFNA(INDEX('Shultis Faw'!$D$2:$D$26,MATCH($C142,'Shultis Faw'!$A$2:$A$26,1))+($C142-INDEX('Shultis Faw'!$A$2:$A$26,MATCH($C142,'Shultis Faw'!$A$2:$A$26,1)))*(INDEX('Shultis Faw'!$D$2:$D$26,MATCH($C142,'Shultis Faw'!$A$2:$A$26,1)+1)-INDEX('Shultis Faw'!$D$2:$D$26,MATCH($C142,'Shultis Faw'!$A$2:$A$26,1)))/(INDEX('Shultis Faw'!$A$2:$A$26,MATCH($C142,'Shultis Faw'!$A$2:$A$26,1)+1)-INDEX('Shultis Faw'!$A$2:$A$26,MATCH($C142,'Shultis Faw'!$A$2:$A$26,1))),$C142*'Shultis Faw'!$D$2/'Shultis Faw'!$A$2)</f>
        <v>1.86910486</v>
      </c>
      <c r="K142" s="83">
        <f>_xlfn.IFNA(INDEX('Shultis Faw'!$B$2:$B$26,MATCH($C142,'Shultis Faw'!$A$2:$A$26,1))+($C142-INDEX('Shultis Faw'!$A$2:$A$26,MATCH($C142,'Shultis Faw'!$A$2:$A$26,1)))*(INDEX('Shultis Faw'!$B$2:$B$26,MATCH($C142,'Shultis Faw'!$A$2:$A$26,1)+1)-INDEX('Shultis Faw'!$B$2:$B$26,MATCH($C142,'Shultis Faw'!$A$2:$A$26,1)))/(INDEX('Shultis Faw'!$A$2:$A$26,MATCH($C142,'Shultis Faw'!$A$2:$A$26,1)+1)-INDEX('Shultis Faw'!$A$2:$A$26,MATCH($C142,'Shultis Faw'!$A$2:$A$26,1))),$C142*'Shultis Faw'!$B$2/'Shultis Faw'!$A$2)</f>
        <v>-0.14744368999999999</v>
      </c>
      <c r="L142" s="83">
        <f>_xlfn.IFNA(INDEX('Shultis Faw'!$E$2:$E$26,MATCH($C142,'Shultis Faw'!$A$2:$A$26,1))+($C142-INDEX('Shultis Faw'!$A$2:$A$26,MATCH($C142,'Shultis Faw'!$A$2:$A$26,1)))*(INDEX('Shultis Faw'!$E$2:$E$26,MATCH($C142,'Shultis Faw'!$A$2:$A$26,1)+1)-INDEX('Shultis Faw'!$E$2:$E$26,MATCH($C142,'Shultis Faw'!$A$2:$A$26,1)))/(INDEX('Shultis Faw'!$A$2:$A$26,MATCH($C142,'Shultis Faw'!$A$2:$A$26,1)+1)-INDEX('Shultis Faw'!$A$2:$A$26,MATCH($C142,'Shultis Faw'!$A$2:$A$26,1))),$C142*'Shultis Faw'!$E$2/'Shultis Faw'!$A$2)</f>
        <v>5.89552915E-2</v>
      </c>
      <c r="M142" s="83">
        <f>_xlfn.IFNA(INDEX('Shultis Faw'!$F$2:$F$26,MATCH($C142,'Shultis Faw'!$A$2:$A$26,1))+($C142-INDEX('Shultis Faw'!$A$2:$A$26,MATCH($C142,'Shultis Faw'!$A$2:$A$26,1)))*(INDEX('Shultis Faw'!$F$2:$F$26,MATCH($C142,'Shultis Faw'!$A$2:$A$26,1)+1)-INDEX('Shultis Faw'!$F$2:$F$26,MATCH($C142,'Shultis Faw'!$A$2:$A$26,1)))/(INDEX('Shultis Faw'!$A$2:$A$26,MATCH($C142,'Shultis Faw'!$A$2:$A$26,1)+1)-INDEX('Shultis Faw'!$A$2:$A$26,MATCH($C142,'Shultis Faw'!$A$2:$A$26,1))),$C142*'Shultis Faw'!$F$2/'Shultis Faw'!$A$2)</f>
        <v>14.25000485</v>
      </c>
      <c r="N142" s="83">
        <f>J142*(H142*'Externe blootstelling'!$D$23/2)^K142+L142*(TANH(((H142*'Externe blootstelling'!$D$23)/(2*M142))-2)-TANH(-2))/(1-TANH(-2))</f>
        <v>1.7488714882643785</v>
      </c>
      <c r="O142" s="83">
        <f>IF(N142=1,1+(I142-1)*H142*'Externe blootstelling'!$D$23/2,1+(I142-1)*(N142^(H142*'Externe blootstelling'!$D$23/2)-1)/(N142-1))</f>
        <v>4.0853019622407949</v>
      </c>
      <c r="P142" s="67">
        <f>G142*EXP(-H142*'Externe blootstelling'!$D$23/2)*O142</f>
        <v>3.8982702750583811E-2</v>
      </c>
      <c r="Q142" s="68"/>
    </row>
    <row r="143" spans="1:17" x14ac:dyDescent="0.2">
      <c r="A143" s="217"/>
      <c r="B143" s="64" t="s">
        <v>104</v>
      </c>
      <c r="C143" s="66">
        <v>0.41604800000000003</v>
      </c>
      <c r="D143" s="66">
        <f t="shared" si="10"/>
        <v>6.6567680000000002E-14</v>
      </c>
      <c r="E143" s="66">
        <v>1.09E-3</v>
      </c>
      <c r="F143" s="66">
        <f>_xlfn.IFNA(INDEX('hp (pSv cm2)'!$B$2:$B$52,MATCH($C143,'hp (pSv cm2)'!$A$2:$A$52,1))+($C143-INDEX('hp (pSv cm2)'!$A$2:$A$52,MATCH($C143,'hp (pSv cm2)'!$A$2:$A$52,1)))*(INDEX('hp (pSv cm2)'!$B$2:$B$52,MATCH($C143,'hp (pSv cm2)'!$A$2:$A$52,1)+1)-INDEX('hp (pSv cm2)'!$B$2:$B$52,MATCH($C143,'hp (pSv cm2)'!$A$2:$A$52,1)))/(INDEX('hp (pSv cm2)'!$A$2:$A$52,MATCH($C143,'hp (pSv cm2)'!$A$2:$A$52,1)+1)-INDEX('hp (pSv cm2)'!$A$2:$A$52,MATCH($C143,'hp (pSv cm2)'!$A$2:$A$52,1))),$C143*'hp (pSv cm2)'!$B$2/'hp (pSv cm2)'!$A$2)</f>
        <v>2.0754256</v>
      </c>
      <c r="G143" s="67">
        <f t="shared" si="11"/>
        <v>2.2622139040000002E-3</v>
      </c>
      <c r="H143" s="83">
        <f>_xlfn.IFNA(0.997*(INDEX('Mass attenuation coefficients'!$B$2:$B$37,MATCH($C143,'Mass attenuation coefficients'!$A$2:$A$37,1))+($C143-INDEX('Mass attenuation coefficients'!$A$2:$A$37,MATCH($C143,'Mass attenuation coefficients'!$A$2:$A$37,1)))*(INDEX('Mass attenuation coefficients'!$B$2:$B$37,MATCH($C143,'Mass attenuation coefficients'!$A$2:$A$37,1)+1)-INDEX('Mass attenuation coefficients'!$B$2:$B$37,MATCH($C143,'Mass attenuation coefficients'!$A$2:$A$37,1)))/(INDEX('Mass attenuation coefficients'!$A$2:$A$37,MATCH($C143,'Mass attenuation coefficients'!$A$2:$A$37,1)+1)-INDEX('Mass attenuation coefficients'!$A$2:$A$37,MATCH($C143,'Mass attenuation coefficients'!$A$2:$A$37,1)))),0.997*$C143*'Mass attenuation coefficients'!$B$2/'Mass attenuation coefficients'!$A$2)</f>
        <v>0.10430491329119999</v>
      </c>
      <c r="I143" s="83">
        <f>_xlfn.IFNA(INDEX('Shultis Faw'!$C$2:$C$26,MATCH($C143,'Shultis Faw'!$A$2:$A$26,1))+($C143-INDEX('Shultis Faw'!$A$2:$A$26,MATCH($C143,'Shultis Faw'!$A$2:$A$26,1)))*(INDEX('Shultis Faw'!$C$2:$C$26,MATCH($C143,'Shultis Faw'!$A$2:$A$26,1)+1)-INDEX('Shultis Faw'!$C$2:$C$26,MATCH($C143,'Shultis Faw'!$A$2:$A$26,1)))/(INDEX('Shultis Faw'!$A$2:$A$26,MATCH($C143,'Shultis Faw'!$A$2:$A$26,1)+1)-INDEX('Shultis Faw'!$A$2:$A$26,MATCH($C143,'Shultis Faw'!$A$2:$A$26,1))),$C143*'Shultis Faw'!$C$2/'Shultis Faw'!$A$2)</f>
        <v>2.6343232000000003</v>
      </c>
      <c r="J143" s="83">
        <f>_xlfn.IFNA(INDEX('Shultis Faw'!$D$2:$D$26,MATCH($C143,'Shultis Faw'!$A$2:$A$26,1))+($C143-INDEX('Shultis Faw'!$A$2:$A$26,MATCH($C143,'Shultis Faw'!$A$2:$A$26,1)))*(INDEX('Shultis Faw'!$D$2:$D$26,MATCH($C143,'Shultis Faw'!$A$2:$A$26,1)+1)-INDEX('Shultis Faw'!$D$2:$D$26,MATCH($C143,'Shultis Faw'!$A$2:$A$26,1)))/(INDEX('Shultis Faw'!$A$2:$A$26,MATCH($C143,'Shultis Faw'!$A$2:$A$26,1)+1)-INDEX('Shultis Faw'!$A$2:$A$26,MATCH($C143,'Shultis Faw'!$A$2:$A$26,1))),$C143*'Shultis Faw'!$D$2/'Shultis Faw'!$A$2)</f>
        <v>1.86338432</v>
      </c>
      <c r="K143" s="83">
        <f>_xlfn.IFNA(INDEX('Shultis Faw'!$B$2:$B$26,MATCH($C143,'Shultis Faw'!$A$2:$A$26,1))+($C143-INDEX('Shultis Faw'!$A$2:$A$26,MATCH($C143,'Shultis Faw'!$A$2:$A$26,1)))*(INDEX('Shultis Faw'!$B$2:$B$26,MATCH($C143,'Shultis Faw'!$A$2:$A$26,1)+1)-INDEX('Shultis Faw'!$B$2:$B$26,MATCH($C143,'Shultis Faw'!$A$2:$A$26,1)))/(INDEX('Shultis Faw'!$A$2:$A$26,MATCH($C143,'Shultis Faw'!$A$2:$A$26,1)+1)-INDEX('Shultis Faw'!$A$2:$A$26,MATCH($C143,'Shultis Faw'!$A$2:$A$26,1))),$C143*'Shultis Faw'!$B$2/'Shultis Faw'!$A$2)</f>
        <v>-0.14675327999999999</v>
      </c>
      <c r="L143" s="83">
        <f>_xlfn.IFNA(INDEX('Shultis Faw'!$E$2:$E$26,MATCH($C143,'Shultis Faw'!$A$2:$A$26,1))+($C143-INDEX('Shultis Faw'!$A$2:$A$26,MATCH($C143,'Shultis Faw'!$A$2:$A$26,1)))*(INDEX('Shultis Faw'!$E$2:$E$26,MATCH($C143,'Shultis Faw'!$A$2:$A$26,1)+1)-INDEX('Shultis Faw'!$E$2:$E$26,MATCH($C143,'Shultis Faw'!$A$2:$A$26,1)))/(INDEX('Shultis Faw'!$A$2:$A$26,MATCH($C143,'Shultis Faw'!$A$2:$A$26,1)+1)-INDEX('Shultis Faw'!$A$2:$A$26,MATCH($C143,'Shultis Faw'!$A$2:$A$26,1))),$C143*'Shultis Faw'!$E$2/'Shultis Faw'!$A$2)</f>
        <v>5.8713648E-2</v>
      </c>
      <c r="M143" s="83">
        <f>_xlfn.IFNA(INDEX('Shultis Faw'!$F$2:$F$26,MATCH($C143,'Shultis Faw'!$A$2:$A$26,1))+($C143-INDEX('Shultis Faw'!$A$2:$A$26,MATCH($C143,'Shultis Faw'!$A$2:$A$26,1)))*(INDEX('Shultis Faw'!$F$2:$F$26,MATCH($C143,'Shultis Faw'!$A$2:$A$26,1)+1)-INDEX('Shultis Faw'!$F$2:$F$26,MATCH($C143,'Shultis Faw'!$A$2:$A$26,1)))/(INDEX('Shultis Faw'!$A$2:$A$26,MATCH($C143,'Shultis Faw'!$A$2:$A$26,1)+1)-INDEX('Shultis Faw'!$A$2:$A$26,MATCH($C143,'Shultis Faw'!$A$2:$A$26,1))),$C143*'Shultis Faw'!$F$2/'Shultis Faw'!$A$2)</f>
        <v>14.254443200000001</v>
      </c>
      <c r="N143" s="83">
        <f>J143*(H143*'Externe blootstelling'!$D$23/2)^K143+L143*(TANH(((H143*'Externe blootstelling'!$D$23)/(2*M143))-2)-TANH(-2))/(1-TANH(-2))</f>
        <v>1.7451727194142264</v>
      </c>
      <c r="O143" s="83">
        <f>IF(N143=1,1+(I143-1)*H143*'Externe blootstelling'!$D$23/2,1+(I143-1)*(N143^(H143*'Externe blootstelling'!$D$23/2)-1)/(N143-1))</f>
        <v>4.0482792097961777</v>
      </c>
      <c r="P143" s="67">
        <f>G143*EXP(-H143*'Externe blootstelling'!$D$23/2)*O143</f>
        <v>1.9156598688563121E-3</v>
      </c>
      <c r="Q143" s="68"/>
    </row>
    <row r="144" spans="1:17" x14ac:dyDescent="0.2">
      <c r="A144" s="217"/>
      <c r="B144" s="64" t="s">
        <v>104</v>
      </c>
      <c r="C144" s="66">
        <v>0.42344999999999999</v>
      </c>
      <c r="D144" s="66">
        <f t="shared" si="10"/>
        <v>6.7751999999999995E-14</v>
      </c>
      <c r="E144" s="66">
        <v>3.1999999999999999E-5</v>
      </c>
      <c r="F144" s="66">
        <f>_xlfn.IFNA(INDEX('hp (pSv cm2)'!$B$2:$B$52,MATCH($C144,'hp (pSv cm2)'!$A$2:$A$52,1))+($C144-INDEX('hp (pSv cm2)'!$A$2:$A$52,MATCH($C144,'hp (pSv cm2)'!$A$2:$A$52,1)))*(INDEX('hp (pSv cm2)'!$B$2:$B$52,MATCH($C144,'hp (pSv cm2)'!$A$2:$A$52,1)+1)-INDEX('hp (pSv cm2)'!$B$2:$B$52,MATCH($C144,'hp (pSv cm2)'!$A$2:$A$52,1)))/(INDEX('hp (pSv cm2)'!$A$2:$A$52,MATCH($C144,'hp (pSv cm2)'!$A$2:$A$52,1)+1)-INDEX('hp (pSv cm2)'!$A$2:$A$52,MATCH($C144,'hp (pSv cm2)'!$A$2:$A$52,1))),$C144*'hp (pSv cm2)'!$B$2/'hp (pSv cm2)'!$A$2)</f>
        <v>2.1102149999999997</v>
      </c>
      <c r="G144" s="67">
        <f t="shared" si="11"/>
        <v>6.7526879999999984E-5</v>
      </c>
      <c r="H144" s="83">
        <f>_xlfn.IFNA(0.997*(INDEX('Mass attenuation coefficients'!$B$2:$B$37,MATCH($C144,'Mass attenuation coefficients'!$A$2:$A$37,1))+($C144-INDEX('Mass attenuation coefficients'!$A$2:$A$37,MATCH($C144,'Mass attenuation coefficients'!$A$2:$A$37,1)))*(INDEX('Mass attenuation coefficients'!$B$2:$B$37,MATCH($C144,'Mass attenuation coefficients'!$A$2:$A$37,1)+1)-INDEX('Mass attenuation coefficients'!$B$2:$B$37,MATCH($C144,'Mass attenuation coefficients'!$A$2:$A$37,1)))/(INDEX('Mass attenuation coefficients'!$A$2:$A$37,MATCH($C144,'Mass attenuation coefficients'!$A$2:$A$37,1)+1)-INDEX('Mass attenuation coefficients'!$A$2:$A$37,MATCH($C144,'Mass attenuation coefficients'!$A$2:$A$37,1)))),0.997*$C144*'Mass attenuation coefficients'!$B$2/'Mass attenuation coefficients'!$A$2)</f>
        <v>0.10362375830500001</v>
      </c>
      <c r="I144" s="83">
        <f>_xlfn.IFNA(INDEX('Shultis Faw'!$C$2:$C$26,MATCH($C144,'Shultis Faw'!$A$2:$A$26,1))+($C144-INDEX('Shultis Faw'!$A$2:$A$26,MATCH($C144,'Shultis Faw'!$A$2:$A$26,1)))*(INDEX('Shultis Faw'!$C$2:$C$26,MATCH($C144,'Shultis Faw'!$A$2:$A$26,1)+1)-INDEX('Shultis Faw'!$C$2:$C$26,MATCH($C144,'Shultis Faw'!$A$2:$A$26,1)))/(INDEX('Shultis Faw'!$A$2:$A$26,MATCH($C144,'Shultis Faw'!$A$2:$A$26,1)+1)-INDEX('Shultis Faw'!$A$2:$A$26,MATCH($C144,'Shultis Faw'!$A$2:$A$26,1))),$C144*'Shultis Faw'!$C$2/'Shultis Faw'!$A$2)</f>
        <v>2.6224800000000004</v>
      </c>
      <c r="J144" s="83">
        <f>_xlfn.IFNA(INDEX('Shultis Faw'!$D$2:$D$26,MATCH($C144,'Shultis Faw'!$A$2:$A$26,1))+($C144-INDEX('Shultis Faw'!$A$2:$A$26,MATCH($C144,'Shultis Faw'!$A$2:$A$26,1)))*(INDEX('Shultis Faw'!$D$2:$D$26,MATCH($C144,'Shultis Faw'!$A$2:$A$26,1)+1)-INDEX('Shultis Faw'!$D$2:$D$26,MATCH($C144,'Shultis Faw'!$A$2:$A$26,1)))/(INDEX('Shultis Faw'!$A$2:$A$26,MATCH($C144,'Shultis Faw'!$A$2:$A$26,1)+1)-INDEX('Shultis Faw'!$A$2:$A$26,MATCH($C144,'Shultis Faw'!$A$2:$A$26,1))),$C144*'Shultis Faw'!$D$2/'Shultis Faw'!$A$2)</f>
        <v>1.8547979999999999</v>
      </c>
      <c r="K144" s="83">
        <f>_xlfn.IFNA(INDEX('Shultis Faw'!$B$2:$B$26,MATCH($C144,'Shultis Faw'!$A$2:$A$26,1))+($C144-INDEX('Shultis Faw'!$A$2:$A$26,MATCH($C144,'Shultis Faw'!$A$2:$A$26,1)))*(INDEX('Shultis Faw'!$B$2:$B$26,MATCH($C144,'Shultis Faw'!$A$2:$A$26,1)+1)-INDEX('Shultis Faw'!$B$2:$B$26,MATCH($C144,'Shultis Faw'!$A$2:$A$26,1)))/(INDEX('Shultis Faw'!$A$2:$A$26,MATCH($C144,'Shultis Faw'!$A$2:$A$26,1)+1)-INDEX('Shultis Faw'!$A$2:$A$26,MATCH($C144,'Shultis Faw'!$A$2:$A$26,1))),$C144*'Shultis Faw'!$B$2/'Shultis Faw'!$A$2)</f>
        <v>-0.14571700000000001</v>
      </c>
      <c r="L144" s="83">
        <f>_xlfn.IFNA(INDEX('Shultis Faw'!$E$2:$E$26,MATCH($C144,'Shultis Faw'!$A$2:$A$26,1))+($C144-INDEX('Shultis Faw'!$A$2:$A$26,MATCH($C144,'Shultis Faw'!$A$2:$A$26,1)))*(INDEX('Shultis Faw'!$E$2:$E$26,MATCH($C144,'Shultis Faw'!$A$2:$A$26,1)+1)-INDEX('Shultis Faw'!$E$2:$E$26,MATCH($C144,'Shultis Faw'!$A$2:$A$26,1)))/(INDEX('Shultis Faw'!$A$2:$A$26,MATCH($C144,'Shultis Faw'!$A$2:$A$26,1)+1)-INDEX('Shultis Faw'!$A$2:$A$26,MATCH($C144,'Shultis Faw'!$A$2:$A$26,1))),$C144*'Shultis Faw'!$E$2/'Shultis Faw'!$A$2)</f>
        <v>5.8350949999999999E-2</v>
      </c>
      <c r="M144" s="83">
        <f>_xlfn.IFNA(INDEX('Shultis Faw'!$F$2:$F$26,MATCH($C144,'Shultis Faw'!$A$2:$A$26,1))+($C144-INDEX('Shultis Faw'!$A$2:$A$26,MATCH($C144,'Shultis Faw'!$A$2:$A$26,1)))*(INDEX('Shultis Faw'!$F$2:$F$26,MATCH($C144,'Shultis Faw'!$A$2:$A$26,1)+1)-INDEX('Shultis Faw'!$F$2:$F$26,MATCH($C144,'Shultis Faw'!$A$2:$A$26,1)))/(INDEX('Shultis Faw'!$A$2:$A$26,MATCH($C144,'Shultis Faw'!$A$2:$A$26,1)+1)-INDEX('Shultis Faw'!$A$2:$A$26,MATCH($C144,'Shultis Faw'!$A$2:$A$26,1))),$C144*'Shultis Faw'!$F$2/'Shultis Faw'!$A$2)</f>
        <v>14.261105000000001</v>
      </c>
      <c r="N144" s="83">
        <f>J144*(H144*'Externe blootstelling'!$D$23/2)^K144+L144*(TANH(((H144*'Externe blootstelling'!$D$23)/(2*M144))-2)-TANH(-2))/(1-TANH(-2))</f>
        <v>1.7395943362345474</v>
      </c>
      <c r="O144" s="83">
        <f>IF(N144=1,1+(I144-1)*H144*'Externe blootstelling'!$D$23/2,1+(I144-1)*(N144^(H144*'Externe blootstelling'!$D$23/2)-1)/(N144-1))</f>
        <v>3.9933928480283329</v>
      </c>
      <c r="P144" s="67">
        <f>G144*EXP(-H144*'Externe blootstelling'!$D$23/2)*O144</f>
        <v>5.6986282084017277E-5</v>
      </c>
      <c r="Q144" s="68"/>
    </row>
    <row r="145" spans="1:17" x14ac:dyDescent="0.2">
      <c r="A145" s="217"/>
      <c r="B145" s="64" t="s">
        <v>104</v>
      </c>
      <c r="C145" s="66">
        <v>0.44086000000000003</v>
      </c>
      <c r="D145" s="66">
        <f t="shared" si="10"/>
        <v>7.0537600000000011E-14</v>
      </c>
      <c r="E145" s="66">
        <v>1.3299999999999998E-4</v>
      </c>
      <c r="F145" s="66">
        <f>_xlfn.IFNA(INDEX('hp (pSv cm2)'!$B$2:$B$52,MATCH($C145,'hp (pSv cm2)'!$A$2:$A$52,1))+($C145-INDEX('hp (pSv cm2)'!$A$2:$A$52,MATCH($C145,'hp (pSv cm2)'!$A$2:$A$52,1)))*(INDEX('hp (pSv cm2)'!$B$2:$B$52,MATCH($C145,'hp (pSv cm2)'!$A$2:$A$52,1)+1)-INDEX('hp (pSv cm2)'!$B$2:$B$52,MATCH($C145,'hp (pSv cm2)'!$A$2:$A$52,1)))/(INDEX('hp (pSv cm2)'!$A$2:$A$52,MATCH($C145,'hp (pSv cm2)'!$A$2:$A$52,1)+1)-INDEX('hp (pSv cm2)'!$A$2:$A$52,MATCH($C145,'hp (pSv cm2)'!$A$2:$A$52,1))),$C145*'hp (pSv cm2)'!$B$2/'hp (pSv cm2)'!$A$2)</f>
        <v>2.1920420000000003</v>
      </c>
      <c r="G145" s="67">
        <f t="shared" si="11"/>
        <v>2.9154158599999997E-4</v>
      </c>
      <c r="H145" s="83">
        <f>_xlfn.IFNA(0.997*(INDEX('Mass attenuation coefficients'!$B$2:$B$37,MATCH($C145,'Mass attenuation coefficients'!$A$2:$A$37,1))+($C145-INDEX('Mass attenuation coefficients'!$A$2:$A$37,MATCH($C145,'Mass attenuation coefficients'!$A$2:$A$37,1)))*(INDEX('Mass attenuation coefficients'!$B$2:$B$37,MATCH($C145,'Mass attenuation coefficients'!$A$2:$A$37,1)+1)-INDEX('Mass attenuation coefficients'!$B$2:$B$37,MATCH($C145,'Mass attenuation coefficients'!$A$2:$A$37,1)))/(INDEX('Mass attenuation coefficients'!$A$2:$A$37,MATCH($C145,'Mass attenuation coefficients'!$A$2:$A$37,1)+1)-INDEX('Mass attenuation coefficients'!$A$2:$A$37,MATCH($C145,'Mass attenuation coefficients'!$A$2:$A$37,1)))),0.997*$C145*'Mass attenuation coefficients'!$B$2/'Mass attenuation coefficients'!$A$2)</f>
        <v>0.10202163613399999</v>
      </c>
      <c r="I145" s="83">
        <f>_xlfn.IFNA(INDEX('Shultis Faw'!$C$2:$C$26,MATCH($C145,'Shultis Faw'!$A$2:$A$26,1))+($C145-INDEX('Shultis Faw'!$A$2:$A$26,MATCH($C145,'Shultis Faw'!$A$2:$A$26,1)))*(INDEX('Shultis Faw'!$C$2:$C$26,MATCH($C145,'Shultis Faw'!$A$2:$A$26,1)+1)-INDEX('Shultis Faw'!$C$2:$C$26,MATCH($C145,'Shultis Faw'!$A$2:$A$26,1)))/(INDEX('Shultis Faw'!$A$2:$A$26,MATCH($C145,'Shultis Faw'!$A$2:$A$26,1)+1)-INDEX('Shultis Faw'!$A$2:$A$26,MATCH($C145,'Shultis Faw'!$A$2:$A$26,1))),$C145*'Shultis Faw'!$C$2/'Shultis Faw'!$A$2)</f>
        <v>2.594624</v>
      </c>
      <c r="J145" s="83">
        <f>_xlfn.IFNA(INDEX('Shultis Faw'!$D$2:$D$26,MATCH($C145,'Shultis Faw'!$A$2:$A$26,1))+($C145-INDEX('Shultis Faw'!$A$2:$A$26,MATCH($C145,'Shultis Faw'!$A$2:$A$26,1)))*(INDEX('Shultis Faw'!$D$2:$D$26,MATCH($C145,'Shultis Faw'!$A$2:$A$26,1)+1)-INDEX('Shultis Faw'!$D$2:$D$26,MATCH($C145,'Shultis Faw'!$A$2:$A$26,1)))/(INDEX('Shultis Faw'!$A$2:$A$26,MATCH($C145,'Shultis Faw'!$A$2:$A$26,1)+1)-INDEX('Shultis Faw'!$A$2:$A$26,MATCH($C145,'Shultis Faw'!$A$2:$A$26,1))),$C145*'Shultis Faw'!$D$2/'Shultis Faw'!$A$2)</f>
        <v>1.8346023999999999</v>
      </c>
      <c r="K145" s="83">
        <f>_xlfn.IFNA(INDEX('Shultis Faw'!$B$2:$B$26,MATCH($C145,'Shultis Faw'!$A$2:$A$26,1))+($C145-INDEX('Shultis Faw'!$A$2:$A$26,MATCH($C145,'Shultis Faw'!$A$2:$A$26,1)))*(INDEX('Shultis Faw'!$B$2:$B$26,MATCH($C145,'Shultis Faw'!$A$2:$A$26,1)+1)-INDEX('Shultis Faw'!$B$2:$B$26,MATCH($C145,'Shultis Faw'!$A$2:$A$26,1)))/(INDEX('Shultis Faw'!$A$2:$A$26,MATCH($C145,'Shultis Faw'!$A$2:$A$26,1)+1)-INDEX('Shultis Faw'!$A$2:$A$26,MATCH($C145,'Shultis Faw'!$A$2:$A$26,1))),$C145*'Shultis Faw'!$B$2/'Shultis Faw'!$A$2)</f>
        <v>-0.14327960000000001</v>
      </c>
      <c r="L145" s="83">
        <f>_xlfn.IFNA(INDEX('Shultis Faw'!$E$2:$E$26,MATCH($C145,'Shultis Faw'!$A$2:$A$26,1))+($C145-INDEX('Shultis Faw'!$A$2:$A$26,MATCH($C145,'Shultis Faw'!$A$2:$A$26,1)))*(INDEX('Shultis Faw'!$E$2:$E$26,MATCH($C145,'Shultis Faw'!$A$2:$A$26,1)+1)-INDEX('Shultis Faw'!$E$2:$E$26,MATCH($C145,'Shultis Faw'!$A$2:$A$26,1)))/(INDEX('Shultis Faw'!$A$2:$A$26,MATCH($C145,'Shultis Faw'!$A$2:$A$26,1)+1)-INDEX('Shultis Faw'!$A$2:$A$26,MATCH($C145,'Shultis Faw'!$A$2:$A$26,1))),$C145*'Shultis Faw'!$E$2/'Shultis Faw'!$A$2)</f>
        <v>5.7497859999999998E-2</v>
      </c>
      <c r="M145" s="83">
        <f>_xlfn.IFNA(INDEX('Shultis Faw'!$F$2:$F$26,MATCH($C145,'Shultis Faw'!$A$2:$A$26,1))+($C145-INDEX('Shultis Faw'!$A$2:$A$26,MATCH($C145,'Shultis Faw'!$A$2:$A$26,1)))*(INDEX('Shultis Faw'!$F$2:$F$26,MATCH($C145,'Shultis Faw'!$A$2:$A$26,1)+1)-INDEX('Shultis Faw'!$F$2:$F$26,MATCH($C145,'Shultis Faw'!$A$2:$A$26,1)))/(INDEX('Shultis Faw'!$A$2:$A$26,MATCH($C145,'Shultis Faw'!$A$2:$A$26,1)+1)-INDEX('Shultis Faw'!$A$2:$A$26,MATCH($C145,'Shultis Faw'!$A$2:$A$26,1))),$C145*'Shultis Faw'!$F$2/'Shultis Faw'!$A$2)</f>
        <v>14.276774</v>
      </c>
      <c r="N145" s="83">
        <f>J145*(H145*'Externe blootstelling'!$D$23/2)^K145+L145*(TANH(((H145*'Externe blootstelling'!$D$23)/(2*M145))-2)-TANH(-2))/(1-TANH(-2))</f>
        <v>1.7263473665833433</v>
      </c>
      <c r="O145" s="83">
        <f>IF(N145=1,1+(I145-1)*H145*'Externe blootstelling'!$D$23/2,1+(I145-1)*(N145^(H145*'Externe blootstelling'!$D$23/2)-1)/(N145-1))</f>
        <v>3.867471402579421</v>
      </c>
      <c r="P145" s="67">
        <f>G145*EXP(-H145*'Externe blootstelling'!$D$23/2)*O145</f>
        <v>2.4407096540839891E-4</v>
      </c>
      <c r="Q145" s="68"/>
    </row>
    <row r="146" spans="1:17" x14ac:dyDescent="0.2">
      <c r="A146" s="217"/>
      <c r="B146" s="64" t="s">
        <v>104</v>
      </c>
      <c r="C146" s="66">
        <v>0.443965</v>
      </c>
      <c r="D146" s="66">
        <f t="shared" si="10"/>
        <v>7.1034399999999992E-14</v>
      </c>
      <c r="E146" s="66">
        <v>3.1200000000000002E-2</v>
      </c>
      <c r="F146" s="66">
        <f>_xlfn.IFNA(INDEX('hp (pSv cm2)'!$B$2:$B$52,MATCH($C146,'hp (pSv cm2)'!$A$2:$A$52,1))+($C146-INDEX('hp (pSv cm2)'!$A$2:$A$52,MATCH($C146,'hp (pSv cm2)'!$A$2:$A$52,1)))*(INDEX('hp (pSv cm2)'!$B$2:$B$52,MATCH($C146,'hp (pSv cm2)'!$A$2:$A$52,1)+1)-INDEX('hp (pSv cm2)'!$B$2:$B$52,MATCH($C146,'hp (pSv cm2)'!$A$2:$A$52,1)))/(INDEX('hp (pSv cm2)'!$A$2:$A$52,MATCH($C146,'hp (pSv cm2)'!$A$2:$A$52,1)+1)-INDEX('hp (pSv cm2)'!$A$2:$A$52,MATCH($C146,'hp (pSv cm2)'!$A$2:$A$52,1))),$C146*'hp (pSv cm2)'!$B$2/'hp (pSv cm2)'!$A$2)</f>
        <v>2.2066355</v>
      </c>
      <c r="G146" s="67">
        <f t="shared" si="11"/>
        <v>6.8847027599999999E-2</v>
      </c>
      <c r="H146" s="83">
        <f>_xlfn.IFNA(0.997*(INDEX('Mass attenuation coefficients'!$B$2:$B$37,MATCH($C146,'Mass attenuation coefficients'!$A$2:$A$37,1))+($C146-INDEX('Mass attenuation coefficients'!$A$2:$A$37,MATCH($C146,'Mass attenuation coefficients'!$A$2:$A$37,1)))*(INDEX('Mass attenuation coefficients'!$B$2:$B$37,MATCH($C146,'Mass attenuation coefficients'!$A$2:$A$37,1)+1)-INDEX('Mass attenuation coefficients'!$B$2:$B$37,MATCH($C146,'Mass attenuation coefficients'!$A$2:$A$37,1)))/(INDEX('Mass attenuation coefficients'!$A$2:$A$37,MATCH($C146,'Mass attenuation coefficients'!$A$2:$A$37,1)+1)-INDEX('Mass attenuation coefficients'!$A$2:$A$37,MATCH($C146,'Mass attenuation coefficients'!$A$2:$A$37,1)))),0.997*$C146*'Mass attenuation coefficients'!$B$2/'Mass attenuation coefficients'!$A$2)</f>
        <v>0.1017359044085</v>
      </c>
      <c r="I146" s="83">
        <f>_xlfn.IFNA(INDEX('Shultis Faw'!$C$2:$C$26,MATCH($C146,'Shultis Faw'!$A$2:$A$26,1))+($C146-INDEX('Shultis Faw'!$A$2:$A$26,MATCH($C146,'Shultis Faw'!$A$2:$A$26,1)))*(INDEX('Shultis Faw'!$C$2:$C$26,MATCH($C146,'Shultis Faw'!$A$2:$A$26,1)+1)-INDEX('Shultis Faw'!$C$2:$C$26,MATCH($C146,'Shultis Faw'!$A$2:$A$26,1)))/(INDEX('Shultis Faw'!$A$2:$A$26,MATCH($C146,'Shultis Faw'!$A$2:$A$26,1)+1)-INDEX('Shultis Faw'!$A$2:$A$26,MATCH($C146,'Shultis Faw'!$A$2:$A$26,1))),$C146*'Shultis Faw'!$C$2/'Shultis Faw'!$A$2)</f>
        <v>2.5896560000000002</v>
      </c>
      <c r="J146" s="83">
        <f>_xlfn.IFNA(INDEX('Shultis Faw'!$D$2:$D$26,MATCH($C146,'Shultis Faw'!$A$2:$A$26,1))+($C146-INDEX('Shultis Faw'!$A$2:$A$26,MATCH($C146,'Shultis Faw'!$A$2:$A$26,1)))*(INDEX('Shultis Faw'!$D$2:$D$26,MATCH($C146,'Shultis Faw'!$A$2:$A$26,1)+1)-INDEX('Shultis Faw'!$D$2:$D$26,MATCH($C146,'Shultis Faw'!$A$2:$A$26,1)))/(INDEX('Shultis Faw'!$A$2:$A$26,MATCH($C146,'Shultis Faw'!$A$2:$A$26,1)+1)-INDEX('Shultis Faw'!$A$2:$A$26,MATCH($C146,'Shultis Faw'!$A$2:$A$26,1))),$C146*'Shultis Faw'!$D$2/'Shultis Faw'!$A$2)</f>
        <v>1.8310005999999999</v>
      </c>
      <c r="K146" s="83">
        <f>_xlfn.IFNA(INDEX('Shultis Faw'!$B$2:$B$26,MATCH($C146,'Shultis Faw'!$A$2:$A$26,1))+($C146-INDEX('Shultis Faw'!$A$2:$A$26,MATCH($C146,'Shultis Faw'!$A$2:$A$26,1)))*(INDEX('Shultis Faw'!$B$2:$B$26,MATCH($C146,'Shultis Faw'!$A$2:$A$26,1)+1)-INDEX('Shultis Faw'!$B$2:$B$26,MATCH($C146,'Shultis Faw'!$A$2:$A$26,1)))/(INDEX('Shultis Faw'!$A$2:$A$26,MATCH($C146,'Shultis Faw'!$A$2:$A$26,1)+1)-INDEX('Shultis Faw'!$A$2:$A$26,MATCH($C146,'Shultis Faw'!$A$2:$A$26,1))),$C146*'Shultis Faw'!$B$2/'Shultis Faw'!$A$2)</f>
        <v>-0.1428449</v>
      </c>
      <c r="L146" s="83">
        <f>_xlfn.IFNA(INDEX('Shultis Faw'!$E$2:$E$26,MATCH($C146,'Shultis Faw'!$A$2:$A$26,1))+($C146-INDEX('Shultis Faw'!$A$2:$A$26,MATCH($C146,'Shultis Faw'!$A$2:$A$26,1)))*(INDEX('Shultis Faw'!$E$2:$E$26,MATCH($C146,'Shultis Faw'!$A$2:$A$26,1)+1)-INDEX('Shultis Faw'!$E$2:$E$26,MATCH($C146,'Shultis Faw'!$A$2:$A$26,1)))/(INDEX('Shultis Faw'!$A$2:$A$26,MATCH($C146,'Shultis Faw'!$A$2:$A$26,1)+1)-INDEX('Shultis Faw'!$A$2:$A$26,MATCH($C146,'Shultis Faw'!$A$2:$A$26,1))),$C146*'Shultis Faw'!$E$2/'Shultis Faw'!$A$2)</f>
        <v>5.7345714999999998E-2</v>
      </c>
      <c r="M146" s="83">
        <f>_xlfn.IFNA(INDEX('Shultis Faw'!$F$2:$F$26,MATCH($C146,'Shultis Faw'!$A$2:$A$26,1))+($C146-INDEX('Shultis Faw'!$A$2:$A$26,MATCH($C146,'Shultis Faw'!$A$2:$A$26,1)))*(INDEX('Shultis Faw'!$F$2:$F$26,MATCH($C146,'Shultis Faw'!$A$2:$A$26,1)+1)-INDEX('Shultis Faw'!$F$2:$F$26,MATCH($C146,'Shultis Faw'!$A$2:$A$26,1)))/(INDEX('Shultis Faw'!$A$2:$A$26,MATCH($C146,'Shultis Faw'!$A$2:$A$26,1)+1)-INDEX('Shultis Faw'!$A$2:$A$26,MATCH($C146,'Shultis Faw'!$A$2:$A$26,1))),$C146*'Shultis Faw'!$F$2/'Shultis Faw'!$A$2)</f>
        <v>14.2795685</v>
      </c>
      <c r="N146" s="83">
        <f>J146*(H146*'Externe blootstelling'!$D$23/2)^K146+L146*(TANH(((H146*'Externe blootstelling'!$D$23)/(2*M146))-2)-TANH(-2))/(1-TANH(-2))</f>
        <v>1.7239662035773673</v>
      </c>
      <c r="O146" s="83">
        <f>IF(N146=1,1+(I146-1)*H146*'Externe blootstelling'!$D$23/2,1+(I146-1)*(N146^(H146*'Externe blootstelling'!$D$23/2)-1)/(N146-1))</f>
        <v>3.8454739868876926</v>
      </c>
      <c r="P146" s="67">
        <f>G146*EXP(-H146*'Externe blootstelling'!$D$23/2)*O146</f>
        <v>5.7555249937033731E-2</v>
      </c>
      <c r="Q146" s="68"/>
    </row>
    <row r="147" spans="1:17" x14ac:dyDescent="0.2">
      <c r="A147" s="217"/>
      <c r="B147" s="64" t="s">
        <v>104</v>
      </c>
      <c r="C147" s="66">
        <v>0.48231000000000002</v>
      </c>
      <c r="D147" s="66">
        <f t="shared" si="10"/>
        <v>7.7169599999999997E-14</v>
      </c>
      <c r="E147" s="66">
        <v>2.7900000000000001E-4</v>
      </c>
      <c r="F147" s="66">
        <f>_xlfn.IFNA(INDEX('hp (pSv cm2)'!$B$2:$B$52,MATCH($C147,'hp (pSv cm2)'!$A$2:$A$52,1))+($C147-INDEX('hp (pSv cm2)'!$A$2:$A$52,MATCH($C147,'hp (pSv cm2)'!$A$2:$A$52,1)))*(INDEX('hp (pSv cm2)'!$B$2:$B$52,MATCH($C147,'hp (pSv cm2)'!$A$2:$A$52,1)+1)-INDEX('hp (pSv cm2)'!$B$2:$B$52,MATCH($C147,'hp (pSv cm2)'!$A$2:$A$52,1)))/(INDEX('hp (pSv cm2)'!$A$2:$A$52,MATCH($C147,'hp (pSv cm2)'!$A$2:$A$52,1)+1)-INDEX('hp (pSv cm2)'!$A$2:$A$52,MATCH($C147,'hp (pSv cm2)'!$A$2:$A$52,1))),$C147*'hp (pSv cm2)'!$B$2/'hp (pSv cm2)'!$A$2)</f>
        <v>2.386857</v>
      </c>
      <c r="G147" s="67">
        <f t="shared" si="11"/>
        <v>6.6593310299999998E-4</v>
      </c>
      <c r="H147" s="83">
        <f>_xlfn.IFNA(0.997*(INDEX('Mass attenuation coefficients'!$B$2:$B$37,MATCH($C147,'Mass attenuation coefficients'!$A$2:$A$37,1))+($C147-INDEX('Mass attenuation coefficients'!$A$2:$A$37,MATCH($C147,'Mass attenuation coefficients'!$A$2:$A$37,1)))*(INDEX('Mass attenuation coefficients'!$B$2:$B$37,MATCH($C147,'Mass attenuation coefficients'!$A$2:$A$37,1)+1)-INDEX('Mass attenuation coefficients'!$B$2:$B$37,MATCH($C147,'Mass attenuation coefficients'!$A$2:$A$37,1)))/(INDEX('Mass attenuation coefficients'!$A$2:$A$37,MATCH($C147,'Mass attenuation coefficients'!$A$2:$A$37,1)+1)-INDEX('Mass attenuation coefficients'!$A$2:$A$37,MATCH($C147,'Mass attenuation coefficients'!$A$2:$A$37,1)))),0.997*$C147*'Mass attenuation coefficients'!$B$2/'Mass attenuation coefficients'!$A$2)</f>
        <v>9.8207278639000001E-2</v>
      </c>
      <c r="I147" s="83">
        <f>_xlfn.IFNA(INDEX('Shultis Faw'!$C$2:$C$26,MATCH($C147,'Shultis Faw'!$A$2:$A$26,1))+($C147-INDEX('Shultis Faw'!$A$2:$A$26,MATCH($C147,'Shultis Faw'!$A$2:$A$26,1)))*(INDEX('Shultis Faw'!$C$2:$C$26,MATCH($C147,'Shultis Faw'!$A$2:$A$26,1)+1)-INDEX('Shultis Faw'!$C$2:$C$26,MATCH($C147,'Shultis Faw'!$A$2:$A$26,1)))/(INDEX('Shultis Faw'!$A$2:$A$26,MATCH($C147,'Shultis Faw'!$A$2:$A$26,1)+1)-INDEX('Shultis Faw'!$A$2:$A$26,MATCH($C147,'Shultis Faw'!$A$2:$A$26,1))),$C147*'Shultis Faw'!$C$2/'Shultis Faw'!$A$2)</f>
        <v>2.5283039999999999</v>
      </c>
      <c r="J147" s="83">
        <f>_xlfn.IFNA(INDEX('Shultis Faw'!$D$2:$D$26,MATCH($C147,'Shultis Faw'!$A$2:$A$26,1))+($C147-INDEX('Shultis Faw'!$A$2:$A$26,MATCH($C147,'Shultis Faw'!$A$2:$A$26,1)))*(INDEX('Shultis Faw'!$D$2:$D$26,MATCH($C147,'Shultis Faw'!$A$2:$A$26,1)+1)-INDEX('Shultis Faw'!$D$2:$D$26,MATCH($C147,'Shultis Faw'!$A$2:$A$26,1)))/(INDEX('Shultis Faw'!$A$2:$A$26,MATCH($C147,'Shultis Faw'!$A$2:$A$26,1)+1)-INDEX('Shultis Faw'!$A$2:$A$26,MATCH($C147,'Shultis Faw'!$A$2:$A$26,1))),$C147*'Shultis Faw'!$D$2/'Shultis Faw'!$A$2)</f>
        <v>1.7865203999999999</v>
      </c>
      <c r="K147" s="83">
        <f>_xlfn.IFNA(INDEX('Shultis Faw'!$B$2:$B$26,MATCH($C147,'Shultis Faw'!$A$2:$A$26,1))+($C147-INDEX('Shultis Faw'!$A$2:$A$26,MATCH($C147,'Shultis Faw'!$A$2:$A$26,1)))*(INDEX('Shultis Faw'!$B$2:$B$26,MATCH($C147,'Shultis Faw'!$A$2:$A$26,1)+1)-INDEX('Shultis Faw'!$B$2:$B$26,MATCH($C147,'Shultis Faw'!$A$2:$A$26,1)))/(INDEX('Shultis Faw'!$A$2:$A$26,MATCH($C147,'Shultis Faw'!$A$2:$A$26,1)+1)-INDEX('Shultis Faw'!$A$2:$A$26,MATCH($C147,'Shultis Faw'!$A$2:$A$26,1))),$C147*'Shultis Faw'!$B$2/'Shultis Faw'!$A$2)</f>
        <v>-0.1374766</v>
      </c>
      <c r="L147" s="83">
        <f>_xlfn.IFNA(INDEX('Shultis Faw'!$E$2:$E$26,MATCH($C147,'Shultis Faw'!$A$2:$A$26,1))+($C147-INDEX('Shultis Faw'!$A$2:$A$26,MATCH($C147,'Shultis Faw'!$A$2:$A$26,1)))*(INDEX('Shultis Faw'!$E$2:$E$26,MATCH($C147,'Shultis Faw'!$A$2:$A$26,1)+1)-INDEX('Shultis Faw'!$E$2:$E$26,MATCH($C147,'Shultis Faw'!$A$2:$A$26,1)))/(INDEX('Shultis Faw'!$A$2:$A$26,MATCH($C147,'Shultis Faw'!$A$2:$A$26,1)+1)-INDEX('Shultis Faw'!$A$2:$A$26,MATCH($C147,'Shultis Faw'!$A$2:$A$26,1))),$C147*'Shultis Faw'!$E$2/'Shultis Faw'!$A$2)</f>
        <v>5.5466809999999998E-2</v>
      </c>
      <c r="M147" s="83">
        <f>_xlfn.IFNA(INDEX('Shultis Faw'!$F$2:$F$26,MATCH($C147,'Shultis Faw'!$A$2:$A$26,1))+($C147-INDEX('Shultis Faw'!$A$2:$A$26,MATCH($C147,'Shultis Faw'!$A$2:$A$26,1)))*(INDEX('Shultis Faw'!$F$2:$F$26,MATCH($C147,'Shultis Faw'!$A$2:$A$26,1)+1)-INDEX('Shultis Faw'!$F$2:$F$26,MATCH($C147,'Shultis Faw'!$A$2:$A$26,1)))/(INDEX('Shultis Faw'!$A$2:$A$26,MATCH($C147,'Shultis Faw'!$A$2:$A$26,1)+1)-INDEX('Shultis Faw'!$A$2:$A$26,MATCH($C147,'Shultis Faw'!$A$2:$A$26,1))),$C147*'Shultis Faw'!$F$2/'Shultis Faw'!$A$2)</f>
        <v>14.314079</v>
      </c>
      <c r="N147" s="83">
        <f>J147*(H147*'Externe blootstelling'!$D$23/2)^K147+L147*(TANH(((H147*'Externe blootstelling'!$D$23)/(2*M147))-2)-TANH(-2))/(1-TANH(-2))</f>
        <v>1.6940952587492131</v>
      </c>
      <c r="O147" s="83">
        <f>IF(N147=1,1+(I147-1)*H147*'Externe blootstelling'!$D$23/2,1+(I147-1)*(N147^(H147*'Externe blootstelling'!$D$23/2)-1)/(N147-1))</f>
        <v>3.5848888351409127</v>
      </c>
      <c r="P147" s="67">
        <f>G147*EXP(-H147*'Externe blootstelling'!$D$23/2)*O147</f>
        <v>5.4719624561786059E-4</v>
      </c>
      <c r="Q147" s="68"/>
    </row>
    <row r="148" spans="1:17" x14ac:dyDescent="0.2">
      <c r="A148" s="217"/>
      <c r="B148" s="64" t="s">
        <v>104</v>
      </c>
      <c r="C148" s="66">
        <v>0.48231000000000002</v>
      </c>
      <c r="D148" s="66">
        <f t="shared" si="10"/>
        <v>7.7169599999999997E-14</v>
      </c>
      <c r="E148" s="66">
        <v>1.3899999999999999E-5</v>
      </c>
      <c r="F148" s="66">
        <f>_xlfn.IFNA(INDEX('hp (pSv cm2)'!$B$2:$B$52,MATCH($C148,'hp (pSv cm2)'!$A$2:$A$52,1))+($C148-INDEX('hp (pSv cm2)'!$A$2:$A$52,MATCH($C148,'hp (pSv cm2)'!$A$2:$A$52,1)))*(INDEX('hp (pSv cm2)'!$B$2:$B$52,MATCH($C148,'hp (pSv cm2)'!$A$2:$A$52,1)+1)-INDEX('hp (pSv cm2)'!$B$2:$B$52,MATCH($C148,'hp (pSv cm2)'!$A$2:$A$52,1)))/(INDEX('hp (pSv cm2)'!$A$2:$A$52,MATCH($C148,'hp (pSv cm2)'!$A$2:$A$52,1)+1)-INDEX('hp (pSv cm2)'!$A$2:$A$52,MATCH($C148,'hp (pSv cm2)'!$A$2:$A$52,1))),$C148*'hp (pSv cm2)'!$B$2/'hp (pSv cm2)'!$A$2)</f>
        <v>2.386857</v>
      </c>
      <c r="G148" s="67">
        <f t="shared" si="11"/>
        <v>3.3177312299999999E-5</v>
      </c>
      <c r="H148" s="83">
        <f>_xlfn.IFNA(0.997*(INDEX('Mass attenuation coefficients'!$B$2:$B$37,MATCH($C148,'Mass attenuation coefficients'!$A$2:$A$37,1))+($C148-INDEX('Mass attenuation coefficients'!$A$2:$A$37,MATCH($C148,'Mass attenuation coefficients'!$A$2:$A$37,1)))*(INDEX('Mass attenuation coefficients'!$B$2:$B$37,MATCH($C148,'Mass attenuation coefficients'!$A$2:$A$37,1)+1)-INDEX('Mass attenuation coefficients'!$B$2:$B$37,MATCH($C148,'Mass attenuation coefficients'!$A$2:$A$37,1)))/(INDEX('Mass attenuation coefficients'!$A$2:$A$37,MATCH($C148,'Mass attenuation coefficients'!$A$2:$A$37,1)+1)-INDEX('Mass attenuation coefficients'!$A$2:$A$37,MATCH($C148,'Mass attenuation coefficients'!$A$2:$A$37,1)))),0.997*$C148*'Mass attenuation coefficients'!$B$2/'Mass attenuation coefficients'!$A$2)</f>
        <v>9.8207278639000001E-2</v>
      </c>
      <c r="I148" s="83">
        <f>_xlfn.IFNA(INDEX('Shultis Faw'!$C$2:$C$26,MATCH($C148,'Shultis Faw'!$A$2:$A$26,1))+($C148-INDEX('Shultis Faw'!$A$2:$A$26,MATCH($C148,'Shultis Faw'!$A$2:$A$26,1)))*(INDEX('Shultis Faw'!$C$2:$C$26,MATCH($C148,'Shultis Faw'!$A$2:$A$26,1)+1)-INDEX('Shultis Faw'!$C$2:$C$26,MATCH($C148,'Shultis Faw'!$A$2:$A$26,1)))/(INDEX('Shultis Faw'!$A$2:$A$26,MATCH($C148,'Shultis Faw'!$A$2:$A$26,1)+1)-INDEX('Shultis Faw'!$A$2:$A$26,MATCH($C148,'Shultis Faw'!$A$2:$A$26,1))),$C148*'Shultis Faw'!$C$2/'Shultis Faw'!$A$2)</f>
        <v>2.5283039999999999</v>
      </c>
      <c r="J148" s="83">
        <f>_xlfn.IFNA(INDEX('Shultis Faw'!$D$2:$D$26,MATCH($C148,'Shultis Faw'!$A$2:$A$26,1))+($C148-INDEX('Shultis Faw'!$A$2:$A$26,MATCH($C148,'Shultis Faw'!$A$2:$A$26,1)))*(INDEX('Shultis Faw'!$D$2:$D$26,MATCH($C148,'Shultis Faw'!$A$2:$A$26,1)+1)-INDEX('Shultis Faw'!$D$2:$D$26,MATCH($C148,'Shultis Faw'!$A$2:$A$26,1)))/(INDEX('Shultis Faw'!$A$2:$A$26,MATCH($C148,'Shultis Faw'!$A$2:$A$26,1)+1)-INDEX('Shultis Faw'!$A$2:$A$26,MATCH($C148,'Shultis Faw'!$A$2:$A$26,1))),$C148*'Shultis Faw'!$D$2/'Shultis Faw'!$A$2)</f>
        <v>1.7865203999999999</v>
      </c>
      <c r="K148" s="83">
        <f>_xlfn.IFNA(INDEX('Shultis Faw'!$B$2:$B$26,MATCH($C148,'Shultis Faw'!$A$2:$A$26,1))+($C148-INDEX('Shultis Faw'!$A$2:$A$26,MATCH($C148,'Shultis Faw'!$A$2:$A$26,1)))*(INDEX('Shultis Faw'!$B$2:$B$26,MATCH($C148,'Shultis Faw'!$A$2:$A$26,1)+1)-INDEX('Shultis Faw'!$B$2:$B$26,MATCH($C148,'Shultis Faw'!$A$2:$A$26,1)))/(INDEX('Shultis Faw'!$A$2:$A$26,MATCH($C148,'Shultis Faw'!$A$2:$A$26,1)+1)-INDEX('Shultis Faw'!$A$2:$A$26,MATCH($C148,'Shultis Faw'!$A$2:$A$26,1))),$C148*'Shultis Faw'!$B$2/'Shultis Faw'!$A$2)</f>
        <v>-0.1374766</v>
      </c>
      <c r="L148" s="83">
        <f>_xlfn.IFNA(INDEX('Shultis Faw'!$E$2:$E$26,MATCH($C148,'Shultis Faw'!$A$2:$A$26,1))+($C148-INDEX('Shultis Faw'!$A$2:$A$26,MATCH($C148,'Shultis Faw'!$A$2:$A$26,1)))*(INDEX('Shultis Faw'!$E$2:$E$26,MATCH($C148,'Shultis Faw'!$A$2:$A$26,1)+1)-INDEX('Shultis Faw'!$E$2:$E$26,MATCH($C148,'Shultis Faw'!$A$2:$A$26,1)))/(INDEX('Shultis Faw'!$A$2:$A$26,MATCH($C148,'Shultis Faw'!$A$2:$A$26,1)+1)-INDEX('Shultis Faw'!$A$2:$A$26,MATCH($C148,'Shultis Faw'!$A$2:$A$26,1))),$C148*'Shultis Faw'!$E$2/'Shultis Faw'!$A$2)</f>
        <v>5.5466809999999998E-2</v>
      </c>
      <c r="M148" s="83">
        <f>_xlfn.IFNA(INDEX('Shultis Faw'!$F$2:$F$26,MATCH($C148,'Shultis Faw'!$A$2:$A$26,1))+($C148-INDEX('Shultis Faw'!$A$2:$A$26,MATCH($C148,'Shultis Faw'!$A$2:$A$26,1)))*(INDEX('Shultis Faw'!$F$2:$F$26,MATCH($C148,'Shultis Faw'!$A$2:$A$26,1)+1)-INDEX('Shultis Faw'!$F$2:$F$26,MATCH($C148,'Shultis Faw'!$A$2:$A$26,1)))/(INDEX('Shultis Faw'!$A$2:$A$26,MATCH($C148,'Shultis Faw'!$A$2:$A$26,1)+1)-INDEX('Shultis Faw'!$A$2:$A$26,MATCH($C148,'Shultis Faw'!$A$2:$A$26,1))),$C148*'Shultis Faw'!$F$2/'Shultis Faw'!$A$2)</f>
        <v>14.314079</v>
      </c>
      <c r="N148" s="83">
        <f>J148*(H148*'Externe blootstelling'!$D$23/2)^K148+L148*(TANH(((H148*'Externe blootstelling'!$D$23)/(2*M148))-2)-TANH(-2))/(1-TANH(-2))</f>
        <v>1.6940952587492131</v>
      </c>
      <c r="O148" s="83">
        <f>IF(N148=1,1+(I148-1)*H148*'Externe blootstelling'!$D$23/2,1+(I148-1)*(N148^(H148*'Externe blootstelling'!$D$23/2)-1)/(N148-1))</f>
        <v>3.5848888351409127</v>
      </c>
      <c r="P148" s="67">
        <f>G148*EXP(-H148*'Externe blootstelling'!$D$23/2)*O148</f>
        <v>2.7261748437592337E-5</v>
      </c>
      <c r="Q148" s="68"/>
    </row>
    <row r="149" spans="1:17" x14ac:dyDescent="0.2">
      <c r="A149" s="217"/>
      <c r="B149" s="64" t="s">
        <v>104</v>
      </c>
      <c r="C149" s="66">
        <v>0.48867919999999998</v>
      </c>
      <c r="D149" s="66">
        <f t="shared" si="10"/>
        <v>7.8188671999999992E-14</v>
      </c>
      <c r="E149" s="66">
        <v>4.1390000000000003E-3</v>
      </c>
      <c r="F149" s="66">
        <f>_xlfn.IFNA(INDEX('hp (pSv cm2)'!$B$2:$B$52,MATCH($C149,'hp (pSv cm2)'!$A$2:$A$52,1))+($C149-INDEX('hp (pSv cm2)'!$A$2:$A$52,MATCH($C149,'hp (pSv cm2)'!$A$2:$A$52,1)))*(INDEX('hp (pSv cm2)'!$B$2:$B$52,MATCH($C149,'hp (pSv cm2)'!$A$2:$A$52,1)+1)-INDEX('hp (pSv cm2)'!$B$2:$B$52,MATCH($C149,'hp (pSv cm2)'!$A$2:$A$52,1)))/(INDEX('hp (pSv cm2)'!$A$2:$A$52,MATCH($C149,'hp (pSv cm2)'!$A$2:$A$52,1)+1)-INDEX('hp (pSv cm2)'!$A$2:$A$52,MATCH($C149,'hp (pSv cm2)'!$A$2:$A$52,1))),$C149*'hp (pSv cm2)'!$B$2/'hp (pSv cm2)'!$A$2)</f>
        <v>2.4167922399999999</v>
      </c>
      <c r="G149" s="67">
        <f t="shared" si="11"/>
        <v>1.000310308136E-2</v>
      </c>
      <c r="H149" s="83">
        <f>_xlfn.IFNA(0.997*(INDEX('Mass attenuation coefficients'!$B$2:$B$37,MATCH($C149,'Mass attenuation coefficients'!$A$2:$A$37,1))+($C149-INDEX('Mass attenuation coefficients'!$A$2:$A$37,MATCH($C149,'Mass attenuation coefficients'!$A$2:$A$37,1)))*(INDEX('Mass attenuation coefficients'!$B$2:$B$37,MATCH($C149,'Mass attenuation coefficients'!$A$2:$A$37,1)+1)-INDEX('Mass attenuation coefficients'!$B$2:$B$37,MATCH($C149,'Mass attenuation coefficients'!$A$2:$A$37,1)))/(INDEX('Mass attenuation coefficients'!$A$2:$A$37,MATCH($C149,'Mass attenuation coefficients'!$A$2:$A$37,1)+1)-INDEX('Mass attenuation coefficients'!$A$2:$A$37,MATCH($C149,'Mass attenuation coefficients'!$A$2:$A$37,1)))),0.997*$C149*'Mass attenuation coefficients'!$B$2/'Mass attenuation coefficients'!$A$2)</f>
        <v>9.7621165110479996E-2</v>
      </c>
      <c r="I149" s="83">
        <f>_xlfn.IFNA(INDEX('Shultis Faw'!$C$2:$C$26,MATCH($C149,'Shultis Faw'!$A$2:$A$26,1))+($C149-INDEX('Shultis Faw'!$A$2:$A$26,MATCH($C149,'Shultis Faw'!$A$2:$A$26,1)))*(INDEX('Shultis Faw'!$C$2:$C$26,MATCH($C149,'Shultis Faw'!$A$2:$A$26,1)+1)-INDEX('Shultis Faw'!$C$2:$C$26,MATCH($C149,'Shultis Faw'!$A$2:$A$26,1)))/(INDEX('Shultis Faw'!$A$2:$A$26,MATCH($C149,'Shultis Faw'!$A$2:$A$26,1)+1)-INDEX('Shultis Faw'!$A$2:$A$26,MATCH($C149,'Shultis Faw'!$A$2:$A$26,1))),$C149*'Shultis Faw'!$C$2/'Shultis Faw'!$A$2)</f>
        <v>2.5181132800000001</v>
      </c>
      <c r="J149" s="83">
        <f>_xlfn.IFNA(INDEX('Shultis Faw'!$D$2:$D$26,MATCH($C149,'Shultis Faw'!$A$2:$A$26,1))+($C149-INDEX('Shultis Faw'!$A$2:$A$26,MATCH($C149,'Shultis Faw'!$A$2:$A$26,1)))*(INDEX('Shultis Faw'!$D$2:$D$26,MATCH($C149,'Shultis Faw'!$A$2:$A$26,1)+1)-INDEX('Shultis Faw'!$D$2:$D$26,MATCH($C149,'Shultis Faw'!$A$2:$A$26,1)))/(INDEX('Shultis Faw'!$A$2:$A$26,MATCH($C149,'Shultis Faw'!$A$2:$A$26,1)+1)-INDEX('Shultis Faw'!$A$2:$A$26,MATCH($C149,'Shultis Faw'!$A$2:$A$26,1))),$C149*'Shultis Faw'!$D$2/'Shultis Faw'!$A$2)</f>
        <v>1.7791321280000001</v>
      </c>
      <c r="K149" s="83">
        <f>_xlfn.IFNA(INDEX('Shultis Faw'!$B$2:$B$26,MATCH($C149,'Shultis Faw'!$A$2:$A$26,1))+($C149-INDEX('Shultis Faw'!$A$2:$A$26,MATCH($C149,'Shultis Faw'!$A$2:$A$26,1)))*(INDEX('Shultis Faw'!$B$2:$B$26,MATCH($C149,'Shultis Faw'!$A$2:$A$26,1)+1)-INDEX('Shultis Faw'!$B$2:$B$26,MATCH($C149,'Shultis Faw'!$A$2:$A$26,1)))/(INDEX('Shultis Faw'!$A$2:$A$26,MATCH($C149,'Shultis Faw'!$A$2:$A$26,1)+1)-INDEX('Shultis Faw'!$A$2:$A$26,MATCH($C149,'Shultis Faw'!$A$2:$A$26,1))),$C149*'Shultis Faw'!$B$2/'Shultis Faw'!$A$2)</f>
        <v>-0.136584912</v>
      </c>
      <c r="L149" s="83">
        <f>_xlfn.IFNA(INDEX('Shultis Faw'!$E$2:$E$26,MATCH($C149,'Shultis Faw'!$A$2:$A$26,1))+($C149-INDEX('Shultis Faw'!$A$2:$A$26,MATCH($C149,'Shultis Faw'!$A$2:$A$26,1)))*(INDEX('Shultis Faw'!$E$2:$E$26,MATCH($C149,'Shultis Faw'!$A$2:$A$26,1)+1)-INDEX('Shultis Faw'!$E$2:$E$26,MATCH($C149,'Shultis Faw'!$A$2:$A$26,1)))/(INDEX('Shultis Faw'!$A$2:$A$26,MATCH($C149,'Shultis Faw'!$A$2:$A$26,1)+1)-INDEX('Shultis Faw'!$A$2:$A$26,MATCH($C149,'Shultis Faw'!$A$2:$A$26,1))),$C149*'Shultis Faw'!$E$2/'Shultis Faw'!$A$2)</f>
        <v>5.5154719200000001E-2</v>
      </c>
      <c r="M149" s="83">
        <f>_xlfn.IFNA(INDEX('Shultis Faw'!$F$2:$F$26,MATCH($C149,'Shultis Faw'!$A$2:$A$26,1))+($C149-INDEX('Shultis Faw'!$A$2:$A$26,MATCH($C149,'Shultis Faw'!$A$2:$A$26,1)))*(INDEX('Shultis Faw'!$F$2:$F$26,MATCH($C149,'Shultis Faw'!$A$2:$A$26,1)+1)-INDEX('Shultis Faw'!$F$2:$F$26,MATCH($C149,'Shultis Faw'!$A$2:$A$26,1)))/(INDEX('Shultis Faw'!$A$2:$A$26,MATCH($C149,'Shultis Faw'!$A$2:$A$26,1)+1)-INDEX('Shultis Faw'!$A$2:$A$26,MATCH($C149,'Shultis Faw'!$A$2:$A$26,1))),$C149*'Shultis Faw'!$F$2/'Shultis Faw'!$A$2)</f>
        <v>14.31981128</v>
      </c>
      <c r="N149" s="83">
        <f>J149*(H149*'Externe blootstelling'!$D$23/2)^K149+L149*(TANH(((H149*'Externe blootstelling'!$D$23)/(2*M149))-2)-TANH(-2))/(1-TANH(-2))</f>
        <v>1.6890502858778924</v>
      </c>
      <c r="O149" s="83">
        <f>IF(N149=1,1+(I149-1)*H149*'Externe blootstelling'!$D$23/2,1+(I149-1)*(N149^(H149*'Externe blootstelling'!$D$23/2)-1)/(N149-1))</f>
        <v>3.5435305152023373</v>
      </c>
      <c r="P149" s="67">
        <f>G149*EXP(-H149*'Externe blootstelling'!$D$23/2)*O149</f>
        <v>8.1964524053848783E-3</v>
      </c>
      <c r="Q149" s="68"/>
    </row>
    <row r="150" spans="1:17" x14ac:dyDescent="0.2">
      <c r="A150" s="217"/>
      <c r="B150" s="64" t="s">
        <v>104</v>
      </c>
      <c r="C150" s="66">
        <v>0.493508</v>
      </c>
      <c r="D150" s="66">
        <f t="shared" si="10"/>
        <v>7.8961279999999996E-14</v>
      </c>
      <c r="E150" s="66">
        <v>2.7799999999999998E-4</v>
      </c>
      <c r="F150" s="66">
        <f>_xlfn.IFNA(INDEX('hp (pSv cm2)'!$B$2:$B$52,MATCH($C150,'hp (pSv cm2)'!$A$2:$A$52,1))+($C150-INDEX('hp (pSv cm2)'!$A$2:$A$52,MATCH($C150,'hp (pSv cm2)'!$A$2:$A$52,1)))*(INDEX('hp (pSv cm2)'!$B$2:$B$52,MATCH($C150,'hp (pSv cm2)'!$A$2:$A$52,1)+1)-INDEX('hp (pSv cm2)'!$B$2:$B$52,MATCH($C150,'hp (pSv cm2)'!$A$2:$A$52,1)))/(INDEX('hp (pSv cm2)'!$A$2:$A$52,MATCH($C150,'hp (pSv cm2)'!$A$2:$A$52,1)+1)-INDEX('hp (pSv cm2)'!$A$2:$A$52,MATCH($C150,'hp (pSv cm2)'!$A$2:$A$52,1))),$C150*'hp (pSv cm2)'!$B$2/'hp (pSv cm2)'!$A$2)</f>
        <v>2.4394876000000001</v>
      </c>
      <c r="G150" s="67">
        <f t="shared" si="11"/>
        <v>6.7817755279999997E-4</v>
      </c>
      <c r="H150" s="83">
        <f>_xlfn.IFNA(0.997*(INDEX('Mass attenuation coefficients'!$B$2:$B$37,MATCH($C150,'Mass attenuation coefficients'!$A$2:$A$37,1))+($C150-INDEX('Mass attenuation coefficients'!$A$2:$A$37,MATCH($C150,'Mass attenuation coefficients'!$A$2:$A$37,1)))*(INDEX('Mass attenuation coefficients'!$B$2:$B$37,MATCH($C150,'Mass attenuation coefficients'!$A$2:$A$37,1)+1)-INDEX('Mass attenuation coefficients'!$B$2:$B$37,MATCH($C150,'Mass attenuation coefficients'!$A$2:$A$37,1)))/(INDEX('Mass attenuation coefficients'!$A$2:$A$37,MATCH($C150,'Mass attenuation coefficients'!$A$2:$A$37,1)+1)-INDEX('Mass attenuation coefficients'!$A$2:$A$37,MATCH($C150,'Mass attenuation coefficients'!$A$2:$A$37,1)))),0.997*$C150*'Mass attenuation coefficients'!$B$2/'Mass attenuation coefficients'!$A$2)</f>
        <v>9.7176803965199995E-2</v>
      </c>
      <c r="I150" s="83">
        <f>_xlfn.IFNA(INDEX('Shultis Faw'!$C$2:$C$26,MATCH($C150,'Shultis Faw'!$A$2:$A$26,1))+($C150-INDEX('Shultis Faw'!$A$2:$A$26,MATCH($C150,'Shultis Faw'!$A$2:$A$26,1)))*(INDEX('Shultis Faw'!$C$2:$C$26,MATCH($C150,'Shultis Faw'!$A$2:$A$26,1)+1)-INDEX('Shultis Faw'!$C$2:$C$26,MATCH($C150,'Shultis Faw'!$A$2:$A$26,1)))/(INDEX('Shultis Faw'!$A$2:$A$26,MATCH($C150,'Shultis Faw'!$A$2:$A$26,1)+1)-INDEX('Shultis Faw'!$A$2:$A$26,MATCH($C150,'Shultis Faw'!$A$2:$A$26,1))),$C150*'Shultis Faw'!$C$2/'Shultis Faw'!$A$2)</f>
        <v>2.5103871999999998</v>
      </c>
      <c r="J150" s="83">
        <f>_xlfn.IFNA(INDEX('Shultis Faw'!$D$2:$D$26,MATCH($C150,'Shultis Faw'!$A$2:$A$26,1))+($C150-INDEX('Shultis Faw'!$A$2:$A$26,MATCH($C150,'Shultis Faw'!$A$2:$A$26,1)))*(INDEX('Shultis Faw'!$D$2:$D$26,MATCH($C150,'Shultis Faw'!$A$2:$A$26,1)+1)-INDEX('Shultis Faw'!$D$2:$D$26,MATCH($C150,'Shultis Faw'!$A$2:$A$26,1)))/(INDEX('Shultis Faw'!$A$2:$A$26,MATCH($C150,'Shultis Faw'!$A$2:$A$26,1)+1)-INDEX('Shultis Faw'!$A$2:$A$26,MATCH($C150,'Shultis Faw'!$A$2:$A$26,1))),$C150*'Shultis Faw'!$D$2/'Shultis Faw'!$A$2)</f>
        <v>1.7735307200000001</v>
      </c>
      <c r="K150" s="83">
        <f>_xlfn.IFNA(INDEX('Shultis Faw'!$B$2:$B$26,MATCH($C150,'Shultis Faw'!$A$2:$A$26,1))+($C150-INDEX('Shultis Faw'!$A$2:$A$26,MATCH($C150,'Shultis Faw'!$A$2:$A$26,1)))*(INDEX('Shultis Faw'!$B$2:$B$26,MATCH($C150,'Shultis Faw'!$A$2:$A$26,1)+1)-INDEX('Shultis Faw'!$B$2:$B$26,MATCH($C150,'Shultis Faw'!$A$2:$A$26,1)))/(INDEX('Shultis Faw'!$A$2:$A$26,MATCH($C150,'Shultis Faw'!$A$2:$A$26,1)+1)-INDEX('Shultis Faw'!$A$2:$A$26,MATCH($C150,'Shultis Faw'!$A$2:$A$26,1))),$C150*'Shultis Faw'!$B$2/'Shultis Faw'!$A$2)</f>
        <v>-0.13590888000000001</v>
      </c>
      <c r="L150" s="83">
        <f>_xlfn.IFNA(INDEX('Shultis Faw'!$E$2:$E$26,MATCH($C150,'Shultis Faw'!$A$2:$A$26,1))+($C150-INDEX('Shultis Faw'!$A$2:$A$26,MATCH($C150,'Shultis Faw'!$A$2:$A$26,1)))*(INDEX('Shultis Faw'!$E$2:$E$26,MATCH($C150,'Shultis Faw'!$A$2:$A$26,1)+1)-INDEX('Shultis Faw'!$E$2:$E$26,MATCH($C150,'Shultis Faw'!$A$2:$A$26,1)))/(INDEX('Shultis Faw'!$A$2:$A$26,MATCH($C150,'Shultis Faw'!$A$2:$A$26,1)+1)-INDEX('Shultis Faw'!$A$2:$A$26,MATCH($C150,'Shultis Faw'!$A$2:$A$26,1))),$C150*'Shultis Faw'!$E$2/'Shultis Faw'!$A$2)</f>
        <v>5.4918108E-2</v>
      </c>
      <c r="M150" s="83">
        <f>_xlfn.IFNA(INDEX('Shultis Faw'!$F$2:$F$26,MATCH($C150,'Shultis Faw'!$A$2:$A$26,1))+($C150-INDEX('Shultis Faw'!$A$2:$A$26,MATCH($C150,'Shultis Faw'!$A$2:$A$26,1)))*(INDEX('Shultis Faw'!$F$2:$F$26,MATCH($C150,'Shultis Faw'!$A$2:$A$26,1)+1)-INDEX('Shultis Faw'!$F$2:$F$26,MATCH($C150,'Shultis Faw'!$A$2:$A$26,1)))/(INDEX('Shultis Faw'!$A$2:$A$26,MATCH($C150,'Shultis Faw'!$A$2:$A$26,1)+1)-INDEX('Shultis Faw'!$A$2:$A$26,MATCH($C150,'Shultis Faw'!$A$2:$A$26,1))),$C150*'Shultis Faw'!$F$2/'Shultis Faw'!$A$2)</f>
        <v>14.3241572</v>
      </c>
      <c r="N150" s="83">
        <f>J150*(H150*'Externe blootstelling'!$D$23/2)^K150+L150*(TANH(((H150*'Externe blootstelling'!$D$23)/(2*M150))-2)-TANH(-2))/(1-TANH(-2))</f>
        <v>1.6852096207702327</v>
      </c>
      <c r="O150" s="83">
        <f>IF(N150=1,1+(I150-1)*H150*'Externe blootstelling'!$D$23/2,1+(I150-1)*(N150^(H150*'Externe blootstelling'!$D$23/2)-1)/(N150-1))</f>
        <v>3.5125291822265243</v>
      </c>
      <c r="P150" s="67">
        <f>G150*EXP(-H150*'Externe blootstelling'!$D$23/2)*O150</f>
        <v>5.5451475400334477E-4</v>
      </c>
      <c r="Q150" s="68"/>
    </row>
    <row r="151" spans="1:17" x14ac:dyDescent="0.2">
      <c r="A151" s="217"/>
      <c r="B151" s="64" t="s">
        <v>104</v>
      </c>
      <c r="C151" s="66">
        <v>0.493508</v>
      </c>
      <c r="D151" s="66">
        <f t="shared" si="10"/>
        <v>7.8961279999999996E-14</v>
      </c>
      <c r="E151" s="66">
        <v>8.9999999999999992E-5</v>
      </c>
      <c r="F151" s="66">
        <f>_xlfn.IFNA(INDEX('hp (pSv cm2)'!$B$2:$B$52,MATCH($C151,'hp (pSv cm2)'!$A$2:$A$52,1))+($C151-INDEX('hp (pSv cm2)'!$A$2:$A$52,MATCH($C151,'hp (pSv cm2)'!$A$2:$A$52,1)))*(INDEX('hp (pSv cm2)'!$B$2:$B$52,MATCH($C151,'hp (pSv cm2)'!$A$2:$A$52,1)+1)-INDEX('hp (pSv cm2)'!$B$2:$B$52,MATCH($C151,'hp (pSv cm2)'!$A$2:$A$52,1)))/(INDEX('hp (pSv cm2)'!$A$2:$A$52,MATCH($C151,'hp (pSv cm2)'!$A$2:$A$52,1)+1)-INDEX('hp (pSv cm2)'!$A$2:$A$52,MATCH($C151,'hp (pSv cm2)'!$A$2:$A$52,1))),$C151*'hp (pSv cm2)'!$B$2/'hp (pSv cm2)'!$A$2)</f>
        <v>2.4394876000000001</v>
      </c>
      <c r="G151" s="67">
        <f t="shared" si="11"/>
        <v>2.1955388399999998E-4</v>
      </c>
      <c r="H151" s="83">
        <f>_xlfn.IFNA(0.997*(INDEX('Mass attenuation coefficients'!$B$2:$B$37,MATCH($C151,'Mass attenuation coefficients'!$A$2:$A$37,1))+($C151-INDEX('Mass attenuation coefficients'!$A$2:$A$37,MATCH($C151,'Mass attenuation coefficients'!$A$2:$A$37,1)))*(INDEX('Mass attenuation coefficients'!$B$2:$B$37,MATCH($C151,'Mass attenuation coefficients'!$A$2:$A$37,1)+1)-INDEX('Mass attenuation coefficients'!$B$2:$B$37,MATCH($C151,'Mass attenuation coefficients'!$A$2:$A$37,1)))/(INDEX('Mass attenuation coefficients'!$A$2:$A$37,MATCH($C151,'Mass attenuation coefficients'!$A$2:$A$37,1)+1)-INDEX('Mass attenuation coefficients'!$A$2:$A$37,MATCH($C151,'Mass attenuation coefficients'!$A$2:$A$37,1)))),0.997*$C151*'Mass attenuation coefficients'!$B$2/'Mass attenuation coefficients'!$A$2)</f>
        <v>9.7176803965199995E-2</v>
      </c>
      <c r="I151" s="83">
        <f>_xlfn.IFNA(INDEX('Shultis Faw'!$C$2:$C$26,MATCH($C151,'Shultis Faw'!$A$2:$A$26,1))+($C151-INDEX('Shultis Faw'!$A$2:$A$26,MATCH($C151,'Shultis Faw'!$A$2:$A$26,1)))*(INDEX('Shultis Faw'!$C$2:$C$26,MATCH($C151,'Shultis Faw'!$A$2:$A$26,1)+1)-INDEX('Shultis Faw'!$C$2:$C$26,MATCH($C151,'Shultis Faw'!$A$2:$A$26,1)))/(INDEX('Shultis Faw'!$A$2:$A$26,MATCH($C151,'Shultis Faw'!$A$2:$A$26,1)+1)-INDEX('Shultis Faw'!$A$2:$A$26,MATCH($C151,'Shultis Faw'!$A$2:$A$26,1))),$C151*'Shultis Faw'!$C$2/'Shultis Faw'!$A$2)</f>
        <v>2.5103871999999998</v>
      </c>
      <c r="J151" s="83">
        <f>_xlfn.IFNA(INDEX('Shultis Faw'!$D$2:$D$26,MATCH($C151,'Shultis Faw'!$A$2:$A$26,1))+($C151-INDEX('Shultis Faw'!$A$2:$A$26,MATCH($C151,'Shultis Faw'!$A$2:$A$26,1)))*(INDEX('Shultis Faw'!$D$2:$D$26,MATCH($C151,'Shultis Faw'!$A$2:$A$26,1)+1)-INDEX('Shultis Faw'!$D$2:$D$26,MATCH($C151,'Shultis Faw'!$A$2:$A$26,1)))/(INDEX('Shultis Faw'!$A$2:$A$26,MATCH($C151,'Shultis Faw'!$A$2:$A$26,1)+1)-INDEX('Shultis Faw'!$A$2:$A$26,MATCH($C151,'Shultis Faw'!$A$2:$A$26,1))),$C151*'Shultis Faw'!$D$2/'Shultis Faw'!$A$2)</f>
        <v>1.7735307200000001</v>
      </c>
      <c r="K151" s="83">
        <f>_xlfn.IFNA(INDEX('Shultis Faw'!$B$2:$B$26,MATCH($C151,'Shultis Faw'!$A$2:$A$26,1))+($C151-INDEX('Shultis Faw'!$A$2:$A$26,MATCH($C151,'Shultis Faw'!$A$2:$A$26,1)))*(INDEX('Shultis Faw'!$B$2:$B$26,MATCH($C151,'Shultis Faw'!$A$2:$A$26,1)+1)-INDEX('Shultis Faw'!$B$2:$B$26,MATCH($C151,'Shultis Faw'!$A$2:$A$26,1)))/(INDEX('Shultis Faw'!$A$2:$A$26,MATCH($C151,'Shultis Faw'!$A$2:$A$26,1)+1)-INDEX('Shultis Faw'!$A$2:$A$26,MATCH($C151,'Shultis Faw'!$A$2:$A$26,1))),$C151*'Shultis Faw'!$B$2/'Shultis Faw'!$A$2)</f>
        <v>-0.13590888000000001</v>
      </c>
      <c r="L151" s="83">
        <f>_xlfn.IFNA(INDEX('Shultis Faw'!$E$2:$E$26,MATCH($C151,'Shultis Faw'!$A$2:$A$26,1))+($C151-INDEX('Shultis Faw'!$A$2:$A$26,MATCH($C151,'Shultis Faw'!$A$2:$A$26,1)))*(INDEX('Shultis Faw'!$E$2:$E$26,MATCH($C151,'Shultis Faw'!$A$2:$A$26,1)+1)-INDEX('Shultis Faw'!$E$2:$E$26,MATCH($C151,'Shultis Faw'!$A$2:$A$26,1)))/(INDEX('Shultis Faw'!$A$2:$A$26,MATCH($C151,'Shultis Faw'!$A$2:$A$26,1)+1)-INDEX('Shultis Faw'!$A$2:$A$26,MATCH($C151,'Shultis Faw'!$A$2:$A$26,1))),$C151*'Shultis Faw'!$E$2/'Shultis Faw'!$A$2)</f>
        <v>5.4918108E-2</v>
      </c>
      <c r="M151" s="83">
        <f>_xlfn.IFNA(INDEX('Shultis Faw'!$F$2:$F$26,MATCH($C151,'Shultis Faw'!$A$2:$A$26,1))+($C151-INDEX('Shultis Faw'!$A$2:$A$26,MATCH($C151,'Shultis Faw'!$A$2:$A$26,1)))*(INDEX('Shultis Faw'!$F$2:$F$26,MATCH($C151,'Shultis Faw'!$A$2:$A$26,1)+1)-INDEX('Shultis Faw'!$F$2:$F$26,MATCH($C151,'Shultis Faw'!$A$2:$A$26,1)))/(INDEX('Shultis Faw'!$A$2:$A$26,MATCH($C151,'Shultis Faw'!$A$2:$A$26,1)+1)-INDEX('Shultis Faw'!$A$2:$A$26,MATCH($C151,'Shultis Faw'!$A$2:$A$26,1))),$C151*'Shultis Faw'!$F$2/'Shultis Faw'!$A$2)</f>
        <v>14.3241572</v>
      </c>
      <c r="N151" s="83">
        <f>J151*(H151*'Externe blootstelling'!$D$23/2)^K151+L151*(TANH(((H151*'Externe blootstelling'!$D$23)/(2*M151))-2)-TANH(-2))/(1-TANH(-2))</f>
        <v>1.6852096207702327</v>
      </c>
      <c r="O151" s="83">
        <f>IF(N151=1,1+(I151-1)*H151*'Externe blootstelling'!$D$23/2,1+(I151-1)*(N151^(H151*'Externe blootstelling'!$D$23/2)-1)/(N151-1))</f>
        <v>3.5125291822265243</v>
      </c>
      <c r="P151" s="67">
        <f>G151*EXP(-H151*'Externe blootstelling'!$D$23/2)*O151</f>
        <v>1.7951916496511159E-4</v>
      </c>
      <c r="Q151" s="68"/>
    </row>
    <row r="152" spans="1:17" x14ac:dyDescent="0.2">
      <c r="A152" s="217"/>
      <c r="B152" s="64" t="s">
        <v>104</v>
      </c>
      <c r="C152" s="66">
        <v>0.49639</v>
      </c>
      <c r="D152" s="66">
        <f t="shared" si="10"/>
        <v>7.9422400000000001E-14</v>
      </c>
      <c r="E152" s="66">
        <v>4.1999999999999998E-5</v>
      </c>
      <c r="F152" s="66">
        <f>_xlfn.IFNA(INDEX('hp (pSv cm2)'!$B$2:$B$52,MATCH($C152,'hp (pSv cm2)'!$A$2:$A$52,1))+($C152-INDEX('hp (pSv cm2)'!$A$2:$A$52,MATCH($C152,'hp (pSv cm2)'!$A$2:$A$52,1)))*(INDEX('hp (pSv cm2)'!$B$2:$B$52,MATCH($C152,'hp (pSv cm2)'!$A$2:$A$52,1)+1)-INDEX('hp (pSv cm2)'!$B$2:$B$52,MATCH($C152,'hp (pSv cm2)'!$A$2:$A$52,1)))/(INDEX('hp (pSv cm2)'!$A$2:$A$52,MATCH($C152,'hp (pSv cm2)'!$A$2:$A$52,1)+1)-INDEX('hp (pSv cm2)'!$A$2:$A$52,MATCH($C152,'hp (pSv cm2)'!$A$2:$A$52,1))),$C152*'hp (pSv cm2)'!$B$2/'hp (pSv cm2)'!$A$2)</f>
        <v>2.453033</v>
      </c>
      <c r="G152" s="67">
        <f t="shared" si="11"/>
        <v>1.0302738599999999E-4</v>
      </c>
      <c r="H152" s="83">
        <f>_xlfn.IFNA(0.997*(INDEX('Mass attenuation coefficients'!$B$2:$B$37,MATCH($C152,'Mass attenuation coefficients'!$A$2:$A$37,1))+($C152-INDEX('Mass attenuation coefficients'!$A$2:$A$37,MATCH($C152,'Mass attenuation coefficients'!$A$2:$A$37,1)))*(INDEX('Mass attenuation coefficients'!$B$2:$B$37,MATCH($C152,'Mass attenuation coefficients'!$A$2:$A$37,1)+1)-INDEX('Mass attenuation coefficients'!$B$2:$B$37,MATCH($C152,'Mass attenuation coefficients'!$A$2:$A$37,1)))/(INDEX('Mass attenuation coefficients'!$A$2:$A$37,MATCH($C152,'Mass attenuation coefficients'!$A$2:$A$37,1)+1)-INDEX('Mass attenuation coefficients'!$A$2:$A$37,MATCH($C152,'Mass attenuation coefficients'!$A$2:$A$37,1)))),0.997*$C152*'Mass attenuation coefficients'!$B$2/'Mass attenuation coefficients'!$A$2)</f>
        <v>9.6911593391E-2</v>
      </c>
      <c r="I152" s="83">
        <f>_xlfn.IFNA(INDEX('Shultis Faw'!$C$2:$C$26,MATCH($C152,'Shultis Faw'!$A$2:$A$26,1))+($C152-INDEX('Shultis Faw'!$A$2:$A$26,MATCH($C152,'Shultis Faw'!$A$2:$A$26,1)))*(INDEX('Shultis Faw'!$C$2:$C$26,MATCH($C152,'Shultis Faw'!$A$2:$A$26,1)+1)-INDEX('Shultis Faw'!$C$2:$C$26,MATCH($C152,'Shultis Faw'!$A$2:$A$26,1)))/(INDEX('Shultis Faw'!$A$2:$A$26,MATCH($C152,'Shultis Faw'!$A$2:$A$26,1)+1)-INDEX('Shultis Faw'!$A$2:$A$26,MATCH($C152,'Shultis Faw'!$A$2:$A$26,1))),$C152*'Shultis Faw'!$C$2/'Shultis Faw'!$A$2)</f>
        <v>2.505776</v>
      </c>
      <c r="J152" s="83">
        <f>_xlfn.IFNA(INDEX('Shultis Faw'!$D$2:$D$26,MATCH($C152,'Shultis Faw'!$A$2:$A$26,1))+($C152-INDEX('Shultis Faw'!$A$2:$A$26,MATCH($C152,'Shultis Faw'!$A$2:$A$26,1)))*(INDEX('Shultis Faw'!$D$2:$D$26,MATCH($C152,'Shultis Faw'!$A$2:$A$26,1)+1)-INDEX('Shultis Faw'!$D$2:$D$26,MATCH($C152,'Shultis Faw'!$A$2:$A$26,1)))/(INDEX('Shultis Faw'!$A$2:$A$26,MATCH($C152,'Shultis Faw'!$A$2:$A$26,1)+1)-INDEX('Shultis Faw'!$A$2:$A$26,MATCH($C152,'Shultis Faw'!$A$2:$A$26,1))),$C152*'Shultis Faw'!$D$2/'Shultis Faw'!$A$2)</f>
        <v>1.7701876000000001</v>
      </c>
      <c r="K152" s="83">
        <f>_xlfn.IFNA(INDEX('Shultis Faw'!$B$2:$B$26,MATCH($C152,'Shultis Faw'!$A$2:$A$26,1))+($C152-INDEX('Shultis Faw'!$A$2:$A$26,MATCH($C152,'Shultis Faw'!$A$2:$A$26,1)))*(INDEX('Shultis Faw'!$B$2:$B$26,MATCH($C152,'Shultis Faw'!$A$2:$A$26,1)+1)-INDEX('Shultis Faw'!$B$2:$B$26,MATCH($C152,'Shultis Faw'!$A$2:$A$26,1)))/(INDEX('Shultis Faw'!$A$2:$A$26,MATCH($C152,'Shultis Faw'!$A$2:$A$26,1)+1)-INDEX('Shultis Faw'!$A$2:$A$26,MATCH($C152,'Shultis Faw'!$A$2:$A$26,1))),$C152*'Shultis Faw'!$B$2/'Shultis Faw'!$A$2)</f>
        <v>-0.1355054</v>
      </c>
      <c r="L152" s="83">
        <f>_xlfn.IFNA(INDEX('Shultis Faw'!$E$2:$E$26,MATCH($C152,'Shultis Faw'!$A$2:$A$26,1))+($C152-INDEX('Shultis Faw'!$A$2:$A$26,MATCH($C152,'Shultis Faw'!$A$2:$A$26,1)))*(INDEX('Shultis Faw'!$E$2:$E$26,MATCH($C152,'Shultis Faw'!$A$2:$A$26,1)+1)-INDEX('Shultis Faw'!$E$2:$E$26,MATCH($C152,'Shultis Faw'!$A$2:$A$26,1)))/(INDEX('Shultis Faw'!$A$2:$A$26,MATCH($C152,'Shultis Faw'!$A$2:$A$26,1)+1)-INDEX('Shultis Faw'!$A$2:$A$26,MATCH($C152,'Shultis Faw'!$A$2:$A$26,1))),$C152*'Shultis Faw'!$E$2/'Shultis Faw'!$A$2)</f>
        <v>5.4776890000000002E-2</v>
      </c>
      <c r="M152" s="83">
        <f>_xlfn.IFNA(INDEX('Shultis Faw'!$F$2:$F$26,MATCH($C152,'Shultis Faw'!$A$2:$A$26,1))+($C152-INDEX('Shultis Faw'!$A$2:$A$26,MATCH($C152,'Shultis Faw'!$A$2:$A$26,1)))*(INDEX('Shultis Faw'!$F$2:$F$26,MATCH($C152,'Shultis Faw'!$A$2:$A$26,1)+1)-INDEX('Shultis Faw'!$F$2:$F$26,MATCH($C152,'Shultis Faw'!$A$2:$A$26,1)))/(INDEX('Shultis Faw'!$A$2:$A$26,MATCH($C152,'Shultis Faw'!$A$2:$A$26,1)+1)-INDEX('Shultis Faw'!$A$2:$A$26,MATCH($C152,'Shultis Faw'!$A$2:$A$26,1))),$C152*'Shultis Faw'!$F$2/'Shultis Faw'!$A$2)</f>
        <v>14.326751</v>
      </c>
      <c r="N152" s="83">
        <f>J152*(H152*'Externe blootstelling'!$D$23/2)^K152+L152*(TANH(((H152*'Externe blootstelling'!$D$23)/(2*M152))-2)-TANH(-2))/(1-TANH(-2))</f>
        <v>1.682910870636722</v>
      </c>
      <c r="O152" s="83">
        <f>IF(N152=1,1+(I152-1)*H152*'Externe blootstelling'!$D$23/2,1+(I152-1)*(N152^(H152*'Externe blootstelling'!$D$23/2)-1)/(N152-1))</f>
        <v>3.4941708629796717</v>
      </c>
      <c r="P152" s="67">
        <f>G152*EXP(-H152*'Externe blootstelling'!$D$23/2)*O152</f>
        <v>8.4134528528361082E-5</v>
      </c>
      <c r="Q152" s="68"/>
    </row>
    <row r="153" spans="1:17" x14ac:dyDescent="0.2">
      <c r="A153" s="217"/>
      <c r="B153" s="64" t="s">
        <v>104</v>
      </c>
      <c r="C153" s="66">
        <v>0.49639</v>
      </c>
      <c r="D153" s="66">
        <f t="shared" si="10"/>
        <v>7.9422400000000001E-14</v>
      </c>
      <c r="E153" s="66">
        <v>4.8999999999999998E-5</v>
      </c>
      <c r="F153" s="66">
        <f>_xlfn.IFNA(INDEX('hp (pSv cm2)'!$B$2:$B$52,MATCH($C153,'hp (pSv cm2)'!$A$2:$A$52,1))+($C153-INDEX('hp (pSv cm2)'!$A$2:$A$52,MATCH($C153,'hp (pSv cm2)'!$A$2:$A$52,1)))*(INDEX('hp (pSv cm2)'!$B$2:$B$52,MATCH($C153,'hp (pSv cm2)'!$A$2:$A$52,1)+1)-INDEX('hp (pSv cm2)'!$B$2:$B$52,MATCH($C153,'hp (pSv cm2)'!$A$2:$A$52,1)))/(INDEX('hp (pSv cm2)'!$A$2:$A$52,MATCH($C153,'hp (pSv cm2)'!$A$2:$A$52,1)+1)-INDEX('hp (pSv cm2)'!$A$2:$A$52,MATCH($C153,'hp (pSv cm2)'!$A$2:$A$52,1))),$C153*'hp (pSv cm2)'!$B$2/'hp (pSv cm2)'!$A$2)</f>
        <v>2.453033</v>
      </c>
      <c r="G153" s="67">
        <f t="shared" si="11"/>
        <v>1.2019861699999999E-4</v>
      </c>
      <c r="H153" s="83">
        <f>_xlfn.IFNA(0.997*(INDEX('Mass attenuation coefficients'!$B$2:$B$37,MATCH($C153,'Mass attenuation coefficients'!$A$2:$A$37,1))+($C153-INDEX('Mass attenuation coefficients'!$A$2:$A$37,MATCH($C153,'Mass attenuation coefficients'!$A$2:$A$37,1)))*(INDEX('Mass attenuation coefficients'!$B$2:$B$37,MATCH($C153,'Mass attenuation coefficients'!$A$2:$A$37,1)+1)-INDEX('Mass attenuation coefficients'!$B$2:$B$37,MATCH($C153,'Mass attenuation coefficients'!$A$2:$A$37,1)))/(INDEX('Mass attenuation coefficients'!$A$2:$A$37,MATCH($C153,'Mass attenuation coefficients'!$A$2:$A$37,1)+1)-INDEX('Mass attenuation coefficients'!$A$2:$A$37,MATCH($C153,'Mass attenuation coefficients'!$A$2:$A$37,1)))),0.997*$C153*'Mass attenuation coefficients'!$B$2/'Mass attenuation coefficients'!$A$2)</f>
        <v>9.6911593391E-2</v>
      </c>
      <c r="I153" s="83">
        <f>_xlfn.IFNA(INDEX('Shultis Faw'!$C$2:$C$26,MATCH($C153,'Shultis Faw'!$A$2:$A$26,1))+($C153-INDEX('Shultis Faw'!$A$2:$A$26,MATCH($C153,'Shultis Faw'!$A$2:$A$26,1)))*(INDEX('Shultis Faw'!$C$2:$C$26,MATCH($C153,'Shultis Faw'!$A$2:$A$26,1)+1)-INDEX('Shultis Faw'!$C$2:$C$26,MATCH($C153,'Shultis Faw'!$A$2:$A$26,1)))/(INDEX('Shultis Faw'!$A$2:$A$26,MATCH($C153,'Shultis Faw'!$A$2:$A$26,1)+1)-INDEX('Shultis Faw'!$A$2:$A$26,MATCH($C153,'Shultis Faw'!$A$2:$A$26,1))),$C153*'Shultis Faw'!$C$2/'Shultis Faw'!$A$2)</f>
        <v>2.505776</v>
      </c>
      <c r="J153" s="83">
        <f>_xlfn.IFNA(INDEX('Shultis Faw'!$D$2:$D$26,MATCH($C153,'Shultis Faw'!$A$2:$A$26,1))+($C153-INDEX('Shultis Faw'!$A$2:$A$26,MATCH($C153,'Shultis Faw'!$A$2:$A$26,1)))*(INDEX('Shultis Faw'!$D$2:$D$26,MATCH($C153,'Shultis Faw'!$A$2:$A$26,1)+1)-INDEX('Shultis Faw'!$D$2:$D$26,MATCH($C153,'Shultis Faw'!$A$2:$A$26,1)))/(INDEX('Shultis Faw'!$A$2:$A$26,MATCH($C153,'Shultis Faw'!$A$2:$A$26,1)+1)-INDEX('Shultis Faw'!$A$2:$A$26,MATCH($C153,'Shultis Faw'!$A$2:$A$26,1))),$C153*'Shultis Faw'!$D$2/'Shultis Faw'!$A$2)</f>
        <v>1.7701876000000001</v>
      </c>
      <c r="K153" s="83">
        <f>_xlfn.IFNA(INDEX('Shultis Faw'!$B$2:$B$26,MATCH($C153,'Shultis Faw'!$A$2:$A$26,1))+($C153-INDEX('Shultis Faw'!$A$2:$A$26,MATCH($C153,'Shultis Faw'!$A$2:$A$26,1)))*(INDEX('Shultis Faw'!$B$2:$B$26,MATCH($C153,'Shultis Faw'!$A$2:$A$26,1)+1)-INDEX('Shultis Faw'!$B$2:$B$26,MATCH($C153,'Shultis Faw'!$A$2:$A$26,1)))/(INDEX('Shultis Faw'!$A$2:$A$26,MATCH($C153,'Shultis Faw'!$A$2:$A$26,1)+1)-INDEX('Shultis Faw'!$A$2:$A$26,MATCH($C153,'Shultis Faw'!$A$2:$A$26,1))),$C153*'Shultis Faw'!$B$2/'Shultis Faw'!$A$2)</f>
        <v>-0.1355054</v>
      </c>
      <c r="L153" s="83">
        <f>_xlfn.IFNA(INDEX('Shultis Faw'!$E$2:$E$26,MATCH($C153,'Shultis Faw'!$A$2:$A$26,1))+($C153-INDEX('Shultis Faw'!$A$2:$A$26,MATCH($C153,'Shultis Faw'!$A$2:$A$26,1)))*(INDEX('Shultis Faw'!$E$2:$E$26,MATCH($C153,'Shultis Faw'!$A$2:$A$26,1)+1)-INDEX('Shultis Faw'!$E$2:$E$26,MATCH($C153,'Shultis Faw'!$A$2:$A$26,1)))/(INDEX('Shultis Faw'!$A$2:$A$26,MATCH($C153,'Shultis Faw'!$A$2:$A$26,1)+1)-INDEX('Shultis Faw'!$A$2:$A$26,MATCH($C153,'Shultis Faw'!$A$2:$A$26,1))),$C153*'Shultis Faw'!$E$2/'Shultis Faw'!$A$2)</f>
        <v>5.4776890000000002E-2</v>
      </c>
      <c r="M153" s="83">
        <f>_xlfn.IFNA(INDEX('Shultis Faw'!$F$2:$F$26,MATCH($C153,'Shultis Faw'!$A$2:$A$26,1))+($C153-INDEX('Shultis Faw'!$A$2:$A$26,MATCH($C153,'Shultis Faw'!$A$2:$A$26,1)))*(INDEX('Shultis Faw'!$F$2:$F$26,MATCH($C153,'Shultis Faw'!$A$2:$A$26,1)+1)-INDEX('Shultis Faw'!$F$2:$F$26,MATCH($C153,'Shultis Faw'!$A$2:$A$26,1)))/(INDEX('Shultis Faw'!$A$2:$A$26,MATCH($C153,'Shultis Faw'!$A$2:$A$26,1)+1)-INDEX('Shultis Faw'!$A$2:$A$26,MATCH($C153,'Shultis Faw'!$A$2:$A$26,1))),$C153*'Shultis Faw'!$F$2/'Shultis Faw'!$A$2)</f>
        <v>14.326751</v>
      </c>
      <c r="N153" s="83">
        <f>J153*(H153*'Externe blootstelling'!$D$23/2)^K153+L153*(TANH(((H153*'Externe blootstelling'!$D$23)/(2*M153))-2)-TANH(-2))/(1-TANH(-2))</f>
        <v>1.682910870636722</v>
      </c>
      <c r="O153" s="83">
        <f>IF(N153=1,1+(I153-1)*H153*'Externe blootstelling'!$D$23/2,1+(I153-1)*(N153^(H153*'Externe blootstelling'!$D$23/2)-1)/(N153-1))</f>
        <v>3.4941708629796717</v>
      </c>
      <c r="P153" s="67">
        <f>G153*EXP(-H153*'Externe blootstelling'!$D$23/2)*O153</f>
        <v>9.8156949949754601E-5</v>
      </c>
      <c r="Q153" s="68"/>
    </row>
    <row r="154" spans="1:17" x14ac:dyDescent="0.2">
      <c r="A154" s="217"/>
      <c r="B154" s="64" t="s">
        <v>104</v>
      </c>
      <c r="C154" s="66">
        <v>0.50347399999999998</v>
      </c>
      <c r="D154" s="66">
        <f t="shared" si="10"/>
        <v>8.0555839999999991E-14</v>
      </c>
      <c r="E154" s="66">
        <v>1.5329999999999999E-3</v>
      </c>
      <c r="F154" s="66">
        <f>_xlfn.IFNA(INDEX('hp (pSv cm2)'!$B$2:$B$52,MATCH($C154,'hp (pSv cm2)'!$A$2:$A$52,1))+($C154-INDEX('hp (pSv cm2)'!$A$2:$A$52,MATCH($C154,'hp (pSv cm2)'!$A$2:$A$52,1)))*(INDEX('hp (pSv cm2)'!$B$2:$B$52,MATCH($C154,'hp (pSv cm2)'!$A$2:$A$52,1)+1)-INDEX('hp (pSv cm2)'!$B$2:$B$52,MATCH($C154,'hp (pSv cm2)'!$A$2:$A$52,1)))/(INDEX('hp (pSv cm2)'!$A$2:$A$52,MATCH($C154,'hp (pSv cm2)'!$A$2:$A$52,1)+1)-INDEX('hp (pSv cm2)'!$A$2:$A$52,MATCH($C154,'hp (pSv cm2)'!$A$2:$A$52,1))),$C154*'hp (pSv cm2)'!$B$2/'hp (pSv cm2)'!$A$2)</f>
        <v>2.4852856000000001</v>
      </c>
      <c r="G154" s="67">
        <f t="shared" si="11"/>
        <v>3.8099428247999998E-3</v>
      </c>
      <c r="H154" s="83">
        <f>_xlfn.IFNA(0.997*(INDEX('Mass attenuation coefficients'!$B$2:$B$37,MATCH($C154,'Mass attenuation coefficients'!$A$2:$A$37,1))+($C154-INDEX('Mass attenuation coefficients'!$A$2:$A$37,MATCH($C154,'Mass attenuation coefficients'!$A$2:$A$37,1)))*(INDEX('Mass attenuation coefficients'!$B$2:$B$37,MATCH($C154,'Mass attenuation coefficients'!$A$2:$A$37,1)+1)-INDEX('Mass attenuation coefficients'!$B$2:$B$37,MATCH($C154,'Mass attenuation coefficients'!$A$2:$A$37,1)))/(INDEX('Mass attenuation coefficients'!$A$2:$A$37,MATCH($C154,'Mass attenuation coefficients'!$A$2:$A$37,1)+1)-INDEX('Mass attenuation coefficients'!$A$2:$A$37,MATCH($C154,'Mass attenuation coefficients'!$A$2:$A$37,1)))),0.997*$C154*'Mass attenuation coefficients'!$B$2/'Mass attenuation coefficients'!$A$2)</f>
        <v>9.6326202448200005E-2</v>
      </c>
      <c r="I154" s="83">
        <f>_xlfn.IFNA(INDEX('Shultis Faw'!$C$2:$C$26,MATCH($C154,'Shultis Faw'!$A$2:$A$26,1))+($C154-INDEX('Shultis Faw'!$A$2:$A$26,MATCH($C154,'Shultis Faw'!$A$2:$A$26,1)))*(INDEX('Shultis Faw'!$C$2:$C$26,MATCH($C154,'Shultis Faw'!$A$2:$A$26,1)+1)-INDEX('Shultis Faw'!$C$2:$C$26,MATCH($C154,'Shultis Faw'!$A$2:$A$26,1)))/(INDEX('Shultis Faw'!$A$2:$A$26,MATCH($C154,'Shultis Faw'!$A$2:$A$26,1)+1)-INDEX('Shultis Faw'!$A$2:$A$26,MATCH($C154,'Shultis Faw'!$A$2:$A$26,1))),$C154*'Shultis Faw'!$C$2/'Shultis Faw'!$A$2)</f>
        <v>2.4957269800000002</v>
      </c>
      <c r="J154" s="83">
        <f>_xlfn.IFNA(INDEX('Shultis Faw'!$D$2:$D$26,MATCH($C154,'Shultis Faw'!$A$2:$A$26,1))+($C154-INDEX('Shultis Faw'!$A$2:$A$26,MATCH($C154,'Shultis Faw'!$A$2:$A$26,1)))*(INDEX('Shultis Faw'!$D$2:$D$26,MATCH($C154,'Shultis Faw'!$A$2:$A$26,1)+1)-INDEX('Shultis Faw'!$D$2:$D$26,MATCH($C154,'Shultis Faw'!$A$2:$A$26,1)))/(INDEX('Shultis Faw'!$A$2:$A$26,MATCH($C154,'Shultis Faw'!$A$2:$A$26,1)+1)-INDEX('Shultis Faw'!$A$2:$A$26,MATCH($C154,'Shultis Faw'!$A$2:$A$26,1))),$C154*'Shultis Faw'!$D$2/'Shultis Faw'!$A$2)</f>
        <v>1.76297762</v>
      </c>
      <c r="K154" s="83">
        <f>_xlfn.IFNA(INDEX('Shultis Faw'!$B$2:$B$26,MATCH($C154,'Shultis Faw'!$A$2:$A$26,1))+($C154-INDEX('Shultis Faw'!$A$2:$A$26,MATCH($C154,'Shultis Faw'!$A$2:$A$26,1)))*(INDEX('Shultis Faw'!$B$2:$B$26,MATCH($C154,'Shultis Faw'!$A$2:$A$26,1)+1)-INDEX('Shultis Faw'!$B$2:$B$26,MATCH($C154,'Shultis Faw'!$A$2:$A$26,1)))/(INDEX('Shultis Faw'!$A$2:$A$26,MATCH($C154,'Shultis Faw'!$A$2:$A$26,1)+1)-INDEX('Shultis Faw'!$A$2:$A$26,MATCH($C154,'Shultis Faw'!$A$2:$A$26,1))),$C154*'Shultis Faw'!$B$2/'Shultis Faw'!$A$2)</f>
        <v>-0.13461786000000001</v>
      </c>
      <c r="L154" s="83">
        <f>_xlfn.IFNA(INDEX('Shultis Faw'!$E$2:$E$26,MATCH($C154,'Shultis Faw'!$A$2:$A$26,1))+($C154-INDEX('Shultis Faw'!$A$2:$A$26,MATCH($C154,'Shultis Faw'!$A$2:$A$26,1)))*(INDEX('Shultis Faw'!$E$2:$E$26,MATCH($C154,'Shultis Faw'!$A$2:$A$26,1)+1)-INDEX('Shultis Faw'!$E$2:$E$26,MATCH($C154,'Shultis Faw'!$A$2:$A$26,1)))/(INDEX('Shultis Faw'!$A$2:$A$26,MATCH($C154,'Shultis Faw'!$A$2:$A$26,1)+1)-INDEX('Shultis Faw'!$A$2:$A$26,MATCH($C154,'Shultis Faw'!$A$2:$A$26,1))),$C154*'Shultis Faw'!$E$2/'Shultis Faw'!$A$2)</f>
        <v>5.4450618000000006E-2</v>
      </c>
      <c r="M154" s="83">
        <f>_xlfn.IFNA(INDEX('Shultis Faw'!$F$2:$F$26,MATCH($C154,'Shultis Faw'!$A$2:$A$26,1))+($C154-INDEX('Shultis Faw'!$A$2:$A$26,MATCH($C154,'Shultis Faw'!$A$2:$A$26,1)))*(INDEX('Shultis Faw'!$F$2:$F$26,MATCH($C154,'Shultis Faw'!$A$2:$A$26,1)+1)-INDEX('Shultis Faw'!$F$2:$F$26,MATCH($C154,'Shultis Faw'!$A$2:$A$26,1)))/(INDEX('Shultis Faw'!$A$2:$A$26,MATCH($C154,'Shultis Faw'!$A$2:$A$26,1)+1)-INDEX('Shultis Faw'!$A$2:$A$26,MATCH($C154,'Shultis Faw'!$A$2:$A$26,1))),$C154*'Shultis Faw'!$F$2/'Shultis Faw'!$A$2)</f>
        <v>14.326525999999999</v>
      </c>
      <c r="N154" s="83">
        <f>J154*(H154*'Externe blootstelling'!$D$23/2)^K154+L154*(TANH(((H154*'Externe blootstelling'!$D$23)/(2*M154))-2)-TANH(-2))/(1-TANH(-2))</f>
        <v>1.6779788661248685</v>
      </c>
      <c r="O154" s="83">
        <f>IF(N154=1,1+(I154-1)*H154*'Externe blootstelling'!$D$23/2,1+(I154-1)*(N154^(H154*'Externe blootstelling'!$D$23/2)-1)/(N154-1))</f>
        <v>3.4543022635024152</v>
      </c>
      <c r="P154" s="67">
        <f>G154*EXP(-H154*'Externe blootstelling'!$D$23/2)*O154</f>
        <v>3.1029138844595079E-3</v>
      </c>
      <c r="Q154" s="68"/>
    </row>
    <row r="155" spans="1:17" x14ac:dyDescent="0.2">
      <c r="A155" s="217"/>
      <c r="B155" s="64" t="s">
        <v>105</v>
      </c>
      <c r="C155" s="66">
        <v>0.51100000000000001</v>
      </c>
      <c r="D155" s="66">
        <f t="shared" si="10"/>
        <v>8.1759999999999997E-14</v>
      </c>
      <c r="E155" s="66">
        <v>5.4000000000000001E-4</v>
      </c>
      <c r="F155" s="66">
        <f>_xlfn.IFNA(INDEX('hp (pSv cm2)'!$B$2:$B$52,MATCH($C155,'hp (pSv cm2)'!$A$2:$A$52,1))+($C155-INDEX('hp (pSv cm2)'!$A$2:$A$52,MATCH($C155,'hp (pSv cm2)'!$A$2:$A$52,1)))*(INDEX('hp (pSv cm2)'!$B$2:$B$52,MATCH($C155,'hp (pSv cm2)'!$A$2:$A$52,1)+1)-INDEX('hp (pSv cm2)'!$B$2:$B$52,MATCH($C155,'hp (pSv cm2)'!$A$2:$A$52,1)))/(INDEX('hp (pSv cm2)'!$A$2:$A$52,MATCH($C155,'hp (pSv cm2)'!$A$2:$A$52,1)+1)-INDEX('hp (pSv cm2)'!$A$2:$A$52,MATCH($C155,'hp (pSv cm2)'!$A$2:$A$52,1))),$C155*'hp (pSv cm2)'!$B$2/'hp (pSv cm2)'!$A$2)</f>
        <v>2.5184000000000002</v>
      </c>
      <c r="G155" s="67">
        <f t="shared" si="11"/>
        <v>1.3599360000000002E-3</v>
      </c>
      <c r="H155" s="83">
        <f>_xlfn.IFNA(0.997*(INDEX('Mass attenuation coefficients'!$B$2:$B$37,MATCH($C155,'Mass attenuation coefficients'!$A$2:$A$37,1))+($C155-INDEX('Mass attenuation coefficients'!$A$2:$A$37,MATCH($C155,'Mass attenuation coefficients'!$A$2:$A$37,1)))*(INDEX('Mass attenuation coefficients'!$B$2:$B$37,MATCH($C155,'Mass attenuation coefficients'!$A$2:$A$37,1)+1)-INDEX('Mass attenuation coefficients'!$B$2:$B$37,MATCH($C155,'Mass attenuation coefficients'!$A$2:$A$37,1)))/(INDEX('Mass attenuation coefficients'!$A$2:$A$37,MATCH($C155,'Mass attenuation coefficients'!$A$2:$A$37,1)+1)-INDEX('Mass attenuation coefficients'!$A$2:$A$37,MATCH($C155,'Mass attenuation coefficients'!$A$2:$A$37,1)))),0.997*$C155*'Mass attenuation coefficients'!$B$2/'Mass attenuation coefficients'!$A$2)</f>
        <v>9.5777702299999989E-2</v>
      </c>
      <c r="I155" s="83">
        <f>_xlfn.IFNA(INDEX('Shultis Faw'!$C$2:$C$26,MATCH($C155,'Shultis Faw'!$A$2:$A$26,1))+($C155-INDEX('Shultis Faw'!$A$2:$A$26,MATCH($C155,'Shultis Faw'!$A$2:$A$26,1)))*(INDEX('Shultis Faw'!$C$2:$C$26,MATCH($C155,'Shultis Faw'!$A$2:$A$26,1)+1)-INDEX('Shultis Faw'!$C$2:$C$26,MATCH($C155,'Shultis Faw'!$A$2:$A$26,1)))/(INDEX('Shultis Faw'!$A$2:$A$26,MATCH($C155,'Shultis Faw'!$A$2:$A$26,1)+1)-INDEX('Shultis Faw'!$A$2:$A$26,MATCH($C155,'Shultis Faw'!$A$2:$A$26,1))),$C155*'Shultis Faw'!$C$2/'Shultis Faw'!$A$2)</f>
        <v>2.4864700000000002</v>
      </c>
      <c r="J155" s="83">
        <f>_xlfn.IFNA(INDEX('Shultis Faw'!$D$2:$D$26,MATCH($C155,'Shultis Faw'!$A$2:$A$26,1))+($C155-INDEX('Shultis Faw'!$A$2:$A$26,MATCH($C155,'Shultis Faw'!$A$2:$A$26,1)))*(INDEX('Shultis Faw'!$D$2:$D$26,MATCH($C155,'Shultis Faw'!$A$2:$A$26,1)+1)-INDEX('Shultis Faw'!$D$2:$D$26,MATCH($C155,'Shultis Faw'!$A$2:$A$26,1)))/(INDEX('Shultis Faw'!$A$2:$A$26,MATCH($C155,'Shultis Faw'!$A$2:$A$26,1)+1)-INDEX('Shultis Faw'!$A$2:$A$26,MATCH($C155,'Shultis Faw'!$A$2:$A$26,1))),$C155*'Shultis Faw'!$D$2/'Shultis Faw'!$A$2)</f>
        <v>1.7564299999999999</v>
      </c>
      <c r="K155" s="83">
        <f>_xlfn.IFNA(INDEX('Shultis Faw'!$B$2:$B$26,MATCH($C155,'Shultis Faw'!$A$2:$A$26,1))+($C155-INDEX('Shultis Faw'!$A$2:$A$26,MATCH($C155,'Shultis Faw'!$A$2:$A$26,1)))*(INDEX('Shultis Faw'!$B$2:$B$26,MATCH($C155,'Shultis Faw'!$A$2:$A$26,1)+1)-INDEX('Shultis Faw'!$B$2:$B$26,MATCH($C155,'Shultis Faw'!$A$2:$A$26,1)))/(INDEX('Shultis Faw'!$A$2:$A$26,MATCH($C155,'Shultis Faw'!$A$2:$A$26,1)+1)-INDEX('Shultis Faw'!$A$2:$A$26,MATCH($C155,'Shultis Faw'!$A$2:$A$26,1))),$C155*'Shultis Faw'!$B$2/'Shultis Faw'!$A$2)</f>
        <v>-0.13379000000000002</v>
      </c>
      <c r="L155" s="83">
        <f>_xlfn.IFNA(INDEX('Shultis Faw'!$E$2:$E$26,MATCH($C155,'Shultis Faw'!$A$2:$A$26,1))+($C155-INDEX('Shultis Faw'!$A$2:$A$26,MATCH($C155,'Shultis Faw'!$A$2:$A$26,1)))*(INDEX('Shultis Faw'!$E$2:$E$26,MATCH($C155,'Shultis Faw'!$A$2:$A$26,1)+1)-INDEX('Shultis Faw'!$E$2:$E$26,MATCH($C155,'Shultis Faw'!$A$2:$A$26,1)))/(INDEX('Shultis Faw'!$A$2:$A$26,MATCH($C155,'Shultis Faw'!$A$2:$A$26,1)+1)-INDEX('Shultis Faw'!$A$2:$A$26,MATCH($C155,'Shultis Faw'!$A$2:$A$26,1))),$C155*'Shultis Faw'!$E$2/'Shultis Faw'!$A$2)</f>
        <v>5.4127000000000002E-2</v>
      </c>
      <c r="M155" s="83">
        <f>_xlfn.IFNA(INDEX('Shultis Faw'!$F$2:$F$26,MATCH($C155,'Shultis Faw'!$A$2:$A$26,1))+($C155-INDEX('Shultis Faw'!$A$2:$A$26,MATCH($C155,'Shultis Faw'!$A$2:$A$26,1)))*(INDEX('Shultis Faw'!$F$2:$F$26,MATCH($C155,'Shultis Faw'!$A$2:$A$26,1)+1)-INDEX('Shultis Faw'!$F$2:$F$26,MATCH($C155,'Shultis Faw'!$A$2:$A$26,1)))/(INDEX('Shultis Faw'!$A$2:$A$26,MATCH($C155,'Shultis Faw'!$A$2:$A$26,1)+1)-INDEX('Shultis Faw'!$A$2:$A$26,MATCH($C155,'Shultis Faw'!$A$2:$A$26,1))),$C155*'Shultis Faw'!$F$2/'Shultis Faw'!$A$2)</f>
        <v>14.319000000000001</v>
      </c>
      <c r="N155" s="83">
        <f>J155*(H155*'Externe blootstelling'!$D$23/2)^K155+L155*(TANH(((H155*'Externe blootstelling'!$D$23)/(2*M155))-2)-TANH(-2))/(1-TANH(-2))</f>
        <v>1.6735325037658204</v>
      </c>
      <c r="O155" s="83">
        <f>IF(N155=1,1+(I155-1)*H155*'Externe blootstelling'!$D$23/2,1+(I155-1)*(N155^(H155*'Externe blootstelling'!$D$23/2)-1)/(N155-1))</f>
        <v>3.417740101020692</v>
      </c>
      <c r="P155" s="67">
        <f>G155*EXP(-H155*'Externe blootstelling'!$D$23/2)*O155</f>
        <v>1.1048964816305728E-3</v>
      </c>
      <c r="Q155" s="68"/>
    </row>
    <row r="156" spans="1:17" x14ac:dyDescent="0.2">
      <c r="A156" s="217"/>
      <c r="B156" s="64" t="s">
        <v>104</v>
      </c>
      <c r="C156" s="66">
        <v>0.52022699999999999</v>
      </c>
      <c r="D156" s="66">
        <f t="shared" si="10"/>
        <v>8.323632E-14</v>
      </c>
      <c r="E156" s="66">
        <v>5.3600000000000002E-4</v>
      </c>
      <c r="F156" s="66">
        <f>_xlfn.IFNA(INDEX('hp (pSv cm2)'!$B$2:$B$52,MATCH($C156,'hp (pSv cm2)'!$A$2:$A$52,1))+($C156-INDEX('hp (pSv cm2)'!$A$2:$A$52,MATCH($C156,'hp (pSv cm2)'!$A$2:$A$52,1)))*(INDEX('hp (pSv cm2)'!$B$2:$B$52,MATCH($C156,'hp (pSv cm2)'!$A$2:$A$52,1)+1)-INDEX('hp (pSv cm2)'!$B$2:$B$52,MATCH($C156,'hp (pSv cm2)'!$A$2:$A$52,1)))/(INDEX('hp (pSv cm2)'!$A$2:$A$52,MATCH($C156,'hp (pSv cm2)'!$A$2:$A$52,1)+1)-INDEX('hp (pSv cm2)'!$A$2:$A$52,MATCH($C156,'hp (pSv cm2)'!$A$2:$A$52,1))),$C156*'hp (pSv cm2)'!$B$2/'hp (pSv cm2)'!$A$2)</f>
        <v>2.5589988000000004</v>
      </c>
      <c r="G156" s="67">
        <f t="shared" si="11"/>
        <v>1.3716233568000003E-3</v>
      </c>
      <c r="H156" s="83">
        <f>_xlfn.IFNA(0.997*(INDEX('Mass attenuation coefficients'!$B$2:$B$37,MATCH($C156,'Mass attenuation coefficients'!$A$2:$A$37,1))+($C156-INDEX('Mass attenuation coefficients'!$A$2:$A$37,MATCH($C156,'Mass attenuation coefficients'!$A$2:$A$37,1)))*(INDEX('Mass attenuation coefficients'!$B$2:$B$37,MATCH($C156,'Mass attenuation coefficients'!$A$2:$A$37,1)+1)-INDEX('Mass attenuation coefficients'!$B$2:$B$37,MATCH($C156,'Mass attenuation coefficients'!$A$2:$A$37,1)))/(INDEX('Mass attenuation coefficients'!$A$2:$A$37,MATCH($C156,'Mass attenuation coefficients'!$A$2:$A$37,1)+1)-INDEX('Mass attenuation coefficients'!$A$2:$A$37,MATCH($C156,'Mass attenuation coefficients'!$A$2:$A$37,1)))),0.997*$C156*'Mass attenuation coefficients'!$B$2/'Mass attenuation coefficients'!$A$2)</f>
        <v>9.51052320811E-2</v>
      </c>
      <c r="I156" s="83">
        <f>_xlfn.IFNA(INDEX('Shultis Faw'!$C$2:$C$26,MATCH($C156,'Shultis Faw'!$A$2:$A$26,1))+($C156-INDEX('Shultis Faw'!$A$2:$A$26,MATCH($C156,'Shultis Faw'!$A$2:$A$26,1)))*(INDEX('Shultis Faw'!$C$2:$C$26,MATCH($C156,'Shultis Faw'!$A$2:$A$26,1)+1)-INDEX('Shultis Faw'!$C$2:$C$26,MATCH($C156,'Shultis Faw'!$A$2:$A$26,1)))/(INDEX('Shultis Faw'!$A$2:$A$26,MATCH($C156,'Shultis Faw'!$A$2:$A$26,1)+1)-INDEX('Shultis Faw'!$A$2:$A$26,MATCH($C156,'Shultis Faw'!$A$2:$A$26,1))),$C156*'Shultis Faw'!$C$2/'Shultis Faw'!$A$2)</f>
        <v>2.4751207900000001</v>
      </c>
      <c r="J156" s="83">
        <f>_xlfn.IFNA(INDEX('Shultis Faw'!$D$2:$D$26,MATCH($C156,'Shultis Faw'!$A$2:$A$26,1))+($C156-INDEX('Shultis Faw'!$A$2:$A$26,MATCH($C156,'Shultis Faw'!$A$2:$A$26,1)))*(INDEX('Shultis Faw'!$D$2:$D$26,MATCH($C156,'Shultis Faw'!$A$2:$A$26,1)+1)-INDEX('Shultis Faw'!$D$2:$D$26,MATCH($C156,'Shultis Faw'!$A$2:$A$26,1)))/(INDEX('Shultis Faw'!$A$2:$A$26,MATCH($C156,'Shultis Faw'!$A$2:$A$26,1)+1)-INDEX('Shultis Faw'!$A$2:$A$26,MATCH($C156,'Shultis Faw'!$A$2:$A$26,1))),$C156*'Shultis Faw'!$D$2/'Shultis Faw'!$A$2)</f>
        <v>1.74840251</v>
      </c>
      <c r="K156" s="83">
        <f>_xlfn.IFNA(INDEX('Shultis Faw'!$B$2:$B$26,MATCH($C156,'Shultis Faw'!$A$2:$A$26,1))+($C156-INDEX('Shultis Faw'!$A$2:$A$26,MATCH($C156,'Shultis Faw'!$A$2:$A$26,1)))*(INDEX('Shultis Faw'!$B$2:$B$26,MATCH($C156,'Shultis Faw'!$A$2:$A$26,1)+1)-INDEX('Shultis Faw'!$B$2:$B$26,MATCH($C156,'Shultis Faw'!$A$2:$A$26,1)))/(INDEX('Shultis Faw'!$A$2:$A$26,MATCH($C156,'Shultis Faw'!$A$2:$A$26,1)+1)-INDEX('Shultis Faw'!$A$2:$A$26,MATCH($C156,'Shultis Faw'!$A$2:$A$26,1))),$C156*'Shultis Faw'!$B$2/'Shultis Faw'!$A$2)</f>
        <v>-0.13277503000000002</v>
      </c>
      <c r="L156" s="83">
        <f>_xlfn.IFNA(INDEX('Shultis Faw'!$E$2:$E$26,MATCH($C156,'Shultis Faw'!$A$2:$A$26,1))+($C156-INDEX('Shultis Faw'!$A$2:$A$26,MATCH($C156,'Shultis Faw'!$A$2:$A$26,1)))*(INDEX('Shultis Faw'!$E$2:$E$26,MATCH($C156,'Shultis Faw'!$A$2:$A$26,1)+1)-INDEX('Shultis Faw'!$E$2:$E$26,MATCH($C156,'Shultis Faw'!$A$2:$A$26,1)))/(INDEX('Shultis Faw'!$A$2:$A$26,MATCH($C156,'Shultis Faw'!$A$2:$A$26,1)+1)-INDEX('Shultis Faw'!$A$2:$A$26,MATCH($C156,'Shultis Faw'!$A$2:$A$26,1))),$C156*'Shultis Faw'!$E$2/'Shultis Faw'!$A$2)</f>
        <v>5.3730238999999999E-2</v>
      </c>
      <c r="M156" s="83">
        <f>_xlfn.IFNA(INDEX('Shultis Faw'!$F$2:$F$26,MATCH($C156,'Shultis Faw'!$A$2:$A$26,1))+($C156-INDEX('Shultis Faw'!$A$2:$A$26,MATCH($C156,'Shultis Faw'!$A$2:$A$26,1)))*(INDEX('Shultis Faw'!$F$2:$F$26,MATCH($C156,'Shultis Faw'!$A$2:$A$26,1)+1)-INDEX('Shultis Faw'!$F$2:$F$26,MATCH($C156,'Shultis Faw'!$A$2:$A$26,1)))/(INDEX('Shultis Faw'!$A$2:$A$26,MATCH($C156,'Shultis Faw'!$A$2:$A$26,1)+1)-INDEX('Shultis Faw'!$A$2:$A$26,MATCH($C156,'Shultis Faw'!$A$2:$A$26,1))),$C156*'Shultis Faw'!$F$2/'Shultis Faw'!$A$2)</f>
        <v>14.309773</v>
      </c>
      <c r="N156" s="83">
        <f>J156*(H156*'Externe blootstelling'!$D$23/2)^K156+L156*(TANH(((H156*'Externe blootstelling'!$D$23)/(2*M156))-2)-TANH(-2))/(1-TANH(-2))</f>
        <v>1.6680540238202666</v>
      </c>
      <c r="O156" s="83">
        <f>IF(N156=1,1+(I156-1)*H156*'Externe blootstelling'!$D$23/2,1+(I156-1)*(N156^(H156*'Externe blootstelling'!$D$23/2)-1)/(N156-1))</f>
        <v>3.3735033075855769</v>
      </c>
      <c r="P156" s="67">
        <f>G156*EXP(-H156*'Externe blootstelling'!$D$23/2)*O156</f>
        <v>1.1111197055939975E-3</v>
      </c>
      <c r="Q156" s="68"/>
    </row>
    <row r="157" spans="1:17" x14ac:dyDescent="0.2">
      <c r="A157" s="217"/>
      <c r="B157" s="64" t="s">
        <v>104</v>
      </c>
      <c r="C157" s="66">
        <v>0.52312999999999998</v>
      </c>
      <c r="D157" s="66">
        <f t="shared" si="10"/>
        <v>8.3700799999999994E-14</v>
      </c>
      <c r="E157" s="66">
        <v>1.13E-4</v>
      </c>
      <c r="F157" s="66">
        <f>_xlfn.IFNA(INDEX('hp (pSv cm2)'!$B$2:$B$52,MATCH($C157,'hp (pSv cm2)'!$A$2:$A$52,1))+($C157-INDEX('hp (pSv cm2)'!$A$2:$A$52,MATCH($C157,'hp (pSv cm2)'!$A$2:$A$52,1)))*(INDEX('hp (pSv cm2)'!$B$2:$B$52,MATCH($C157,'hp (pSv cm2)'!$A$2:$A$52,1)+1)-INDEX('hp (pSv cm2)'!$B$2:$B$52,MATCH($C157,'hp (pSv cm2)'!$A$2:$A$52,1)))/(INDEX('hp (pSv cm2)'!$A$2:$A$52,MATCH($C157,'hp (pSv cm2)'!$A$2:$A$52,1)+1)-INDEX('hp (pSv cm2)'!$A$2:$A$52,MATCH($C157,'hp (pSv cm2)'!$A$2:$A$52,1))),$C157*'hp (pSv cm2)'!$B$2/'hp (pSv cm2)'!$A$2)</f>
        <v>2.5717720000000002</v>
      </c>
      <c r="G157" s="67">
        <f t="shared" si="11"/>
        <v>2.9061023599999999E-4</v>
      </c>
      <c r="H157" s="83">
        <f>_xlfn.IFNA(0.997*(INDEX('Mass attenuation coefficients'!$B$2:$B$37,MATCH($C157,'Mass attenuation coefficients'!$A$2:$A$37,1))+($C157-INDEX('Mass attenuation coefficients'!$A$2:$A$37,MATCH($C157,'Mass attenuation coefficients'!$A$2:$A$37,1)))*(INDEX('Mass attenuation coefficients'!$B$2:$B$37,MATCH($C157,'Mass attenuation coefficients'!$A$2:$A$37,1)+1)-INDEX('Mass attenuation coefficients'!$B$2:$B$37,MATCH($C157,'Mass attenuation coefficients'!$A$2:$A$37,1)))/(INDEX('Mass attenuation coefficients'!$A$2:$A$37,MATCH($C157,'Mass attenuation coefficients'!$A$2:$A$37,1)+1)-INDEX('Mass attenuation coefficients'!$A$2:$A$37,MATCH($C157,'Mass attenuation coefficients'!$A$2:$A$37,1)))),0.997*$C157*'Mass attenuation coefficients'!$B$2/'Mass attenuation coefficients'!$A$2)</f>
        <v>9.4893659408999992E-2</v>
      </c>
      <c r="I157" s="83">
        <f>_xlfn.IFNA(INDEX('Shultis Faw'!$C$2:$C$26,MATCH($C157,'Shultis Faw'!$A$2:$A$26,1))+($C157-INDEX('Shultis Faw'!$A$2:$A$26,MATCH($C157,'Shultis Faw'!$A$2:$A$26,1)))*(INDEX('Shultis Faw'!$C$2:$C$26,MATCH($C157,'Shultis Faw'!$A$2:$A$26,1)+1)-INDEX('Shultis Faw'!$C$2:$C$26,MATCH($C157,'Shultis Faw'!$A$2:$A$26,1)))/(INDEX('Shultis Faw'!$A$2:$A$26,MATCH($C157,'Shultis Faw'!$A$2:$A$26,1)+1)-INDEX('Shultis Faw'!$A$2:$A$26,MATCH($C157,'Shultis Faw'!$A$2:$A$26,1))),$C157*'Shultis Faw'!$C$2/'Shultis Faw'!$A$2)</f>
        <v>2.4715501</v>
      </c>
      <c r="J157" s="83">
        <f>_xlfn.IFNA(INDEX('Shultis Faw'!$D$2:$D$26,MATCH($C157,'Shultis Faw'!$A$2:$A$26,1))+($C157-INDEX('Shultis Faw'!$A$2:$A$26,MATCH($C157,'Shultis Faw'!$A$2:$A$26,1)))*(INDEX('Shultis Faw'!$D$2:$D$26,MATCH($C157,'Shultis Faw'!$A$2:$A$26,1)+1)-INDEX('Shultis Faw'!$D$2:$D$26,MATCH($C157,'Shultis Faw'!$A$2:$A$26,1)))/(INDEX('Shultis Faw'!$A$2:$A$26,MATCH($C157,'Shultis Faw'!$A$2:$A$26,1)+1)-INDEX('Shultis Faw'!$A$2:$A$26,MATCH($C157,'Shultis Faw'!$A$2:$A$26,1))),$C157*'Shultis Faw'!$D$2/'Shultis Faw'!$A$2)</f>
        <v>1.7458769000000001</v>
      </c>
      <c r="K157" s="83">
        <f>_xlfn.IFNA(INDEX('Shultis Faw'!$B$2:$B$26,MATCH($C157,'Shultis Faw'!$A$2:$A$26,1))+($C157-INDEX('Shultis Faw'!$A$2:$A$26,MATCH($C157,'Shultis Faw'!$A$2:$A$26,1)))*(INDEX('Shultis Faw'!$B$2:$B$26,MATCH($C157,'Shultis Faw'!$A$2:$A$26,1)+1)-INDEX('Shultis Faw'!$B$2:$B$26,MATCH($C157,'Shultis Faw'!$A$2:$A$26,1)))/(INDEX('Shultis Faw'!$A$2:$A$26,MATCH($C157,'Shultis Faw'!$A$2:$A$26,1)+1)-INDEX('Shultis Faw'!$A$2:$A$26,MATCH($C157,'Shultis Faw'!$A$2:$A$26,1))),$C157*'Shultis Faw'!$B$2/'Shultis Faw'!$A$2)</f>
        <v>-0.13245570000000001</v>
      </c>
      <c r="L157" s="83">
        <f>_xlfn.IFNA(INDEX('Shultis Faw'!$E$2:$E$26,MATCH($C157,'Shultis Faw'!$A$2:$A$26,1))+($C157-INDEX('Shultis Faw'!$A$2:$A$26,MATCH($C157,'Shultis Faw'!$A$2:$A$26,1)))*(INDEX('Shultis Faw'!$E$2:$E$26,MATCH($C157,'Shultis Faw'!$A$2:$A$26,1)+1)-INDEX('Shultis Faw'!$E$2:$E$26,MATCH($C157,'Shultis Faw'!$A$2:$A$26,1)))/(INDEX('Shultis Faw'!$A$2:$A$26,MATCH($C157,'Shultis Faw'!$A$2:$A$26,1)+1)-INDEX('Shultis Faw'!$A$2:$A$26,MATCH($C157,'Shultis Faw'!$A$2:$A$26,1))),$C157*'Shultis Faw'!$E$2/'Shultis Faw'!$A$2)</f>
        <v>5.3605409999999999E-2</v>
      </c>
      <c r="M157" s="83">
        <f>_xlfn.IFNA(INDEX('Shultis Faw'!$F$2:$F$26,MATCH($C157,'Shultis Faw'!$A$2:$A$26,1))+($C157-INDEX('Shultis Faw'!$A$2:$A$26,MATCH($C157,'Shultis Faw'!$A$2:$A$26,1)))*(INDEX('Shultis Faw'!$F$2:$F$26,MATCH($C157,'Shultis Faw'!$A$2:$A$26,1)+1)-INDEX('Shultis Faw'!$F$2:$F$26,MATCH($C157,'Shultis Faw'!$A$2:$A$26,1)))/(INDEX('Shultis Faw'!$A$2:$A$26,MATCH($C157,'Shultis Faw'!$A$2:$A$26,1)+1)-INDEX('Shultis Faw'!$A$2:$A$26,MATCH($C157,'Shultis Faw'!$A$2:$A$26,1))),$C157*'Shultis Faw'!$F$2/'Shultis Faw'!$A$2)</f>
        <v>14.30687</v>
      </c>
      <c r="N157" s="83">
        <f>J157*(H157*'Externe blootstelling'!$D$23/2)^K157+L157*(TANH(((H157*'Externe blootstelling'!$D$23)/(2*M157))-2)-TANH(-2))/(1-TANH(-2))</f>
        <v>1.6663241943159508</v>
      </c>
      <c r="O157" s="83">
        <f>IF(N157=1,1+(I157-1)*H157*'Externe blootstelling'!$D$23/2,1+(I157-1)*(N157^(H157*'Externe blootstelling'!$D$23/2)-1)/(N157-1))</f>
        <v>3.3597184393235957</v>
      </c>
      <c r="P157" s="67">
        <f>G157*EXP(-H157*'Externe blootstelling'!$D$23/2)*O157</f>
        <v>2.3519977413167961E-4</v>
      </c>
      <c r="Q157" s="68"/>
    </row>
    <row r="158" spans="1:17" x14ac:dyDescent="0.2">
      <c r="A158" s="217"/>
      <c r="B158" s="64" t="s">
        <v>104</v>
      </c>
      <c r="C158" s="66">
        <v>0.52688099999999993</v>
      </c>
      <c r="D158" s="66">
        <f t="shared" si="10"/>
        <v>8.4300959999999983E-14</v>
      </c>
      <c r="E158" s="66">
        <v>1.2899999999999999E-4</v>
      </c>
      <c r="F158" s="66">
        <f>_xlfn.IFNA(INDEX('hp (pSv cm2)'!$B$2:$B$52,MATCH($C158,'hp (pSv cm2)'!$A$2:$A$52,1))+($C158-INDEX('hp (pSv cm2)'!$A$2:$A$52,MATCH($C158,'hp (pSv cm2)'!$A$2:$A$52,1)))*(INDEX('hp (pSv cm2)'!$B$2:$B$52,MATCH($C158,'hp (pSv cm2)'!$A$2:$A$52,1)+1)-INDEX('hp (pSv cm2)'!$B$2:$B$52,MATCH($C158,'hp (pSv cm2)'!$A$2:$A$52,1)))/(INDEX('hp (pSv cm2)'!$A$2:$A$52,MATCH($C158,'hp (pSv cm2)'!$A$2:$A$52,1)+1)-INDEX('hp (pSv cm2)'!$A$2:$A$52,MATCH($C158,'hp (pSv cm2)'!$A$2:$A$52,1))),$C158*'hp (pSv cm2)'!$B$2/'hp (pSv cm2)'!$A$2)</f>
        <v>2.5882763999999998</v>
      </c>
      <c r="G158" s="67">
        <f t="shared" si="11"/>
        <v>3.3388765559999996E-4</v>
      </c>
      <c r="H158" s="83">
        <f>_xlfn.IFNA(0.997*(INDEX('Mass attenuation coefficients'!$B$2:$B$37,MATCH($C158,'Mass attenuation coefficients'!$A$2:$A$37,1))+($C158-INDEX('Mass attenuation coefficients'!$A$2:$A$37,MATCH($C158,'Mass attenuation coefficients'!$A$2:$A$37,1)))*(INDEX('Mass attenuation coefficients'!$B$2:$B$37,MATCH($C158,'Mass attenuation coefficients'!$A$2:$A$37,1)+1)-INDEX('Mass attenuation coefficients'!$B$2:$B$37,MATCH($C158,'Mass attenuation coefficients'!$A$2:$A$37,1)))/(INDEX('Mass attenuation coefficients'!$A$2:$A$37,MATCH($C158,'Mass attenuation coefficients'!$A$2:$A$37,1)+1)-INDEX('Mass attenuation coefficients'!$A$2:$A$37,MATCH($C158,'Mass attenuation coefficients'!$A$2:$A$37,1)))),0.997*$C158*'Mass attenuation coefficients'!$B$2/'Mass attenuation coefficients'!$A$2)</f>
        <v>9.4620283903300004E-2</v>
      </c>
      <c r="I158" s="83">
        <f>_xlfn.IFNA(INDEX('Shultis Faw'!$C$2:$C$26,MATCH($C158,'Shultis Faw'!$A$2:$A$26,1))+($C158-INDEX('Shultis Faw'!$A$2:$A$26,MATCH($C158,'Shultis Faw'!$A$2:$A$26,1)))*(INDEX('Shultis Faw'!$C$2:$C$26,MATCH($C158,'Shultis Faw'!$A$2:$A$26,1)+1)-INDEX('Shultis Faw'!$C$2:$C$26,MATCH($C158,'Shultis Faw'!$A$2:$A$26,1)))/(INDEX('Shultis Faw'!$A$2:$A$26,MATCH($C158,'Shultis Faw'!$A$2:$A$26,1)+1)-INDEX('Shultis Faw'!$A$2:$A$26,MATCH($C158,'Shultis Faw'!$A$2:$A$26,1))),$C158*'Shultis Faw'!$C$2/'Shultis Faw'!$A$2)</f>
        <v>2.46693637</v>
      </c>
      <c r="J158" s="83">
        <f>_xlfn.IFNA(INDEX('Shultis Faw'!$D$2:$D$26,MATCH($C158,'Shultis Faw'!$A$2:$A$26,1))+($C158-INDEX('Shultis Faw'!$A$2:$A$26,MATCH($C158,'Shultis Faw'!$A$2:$A$26,1)))*(INDEX('Shultis Faw'!$D$2:$D$26,MATCH($C158,'Shultis Faw'!$A$2:$A$26,1)+1)-INDEX('Shultis Faw'!$D$2:$D$26,MATCH($C158,'Shultis Faw'!$A$2:$A$26,1)))/(INDEX('Shultis Faw'!$A$2:$A$26,MATCH($C158,'Shultis Faw'!$A$2:$A$26,1)+1)-INDEX('Shultis Faw'!$A$2:$A$26,MATCH($C158,'Shultis Faw'!$A$2:$A$26,1))),$C158*'Shultis Faw'!$D$2/'Shultis Faw'!$A$2)</f>
        <v>1.7426135300000001</v>
      </c>
      <c r="K158" s="83">
        <f>_xlfn.IFNA(INDEX('Shultis Faw'!$B$2:$B$26,MATCH($C158,'Shultis Faw'!$A$2:$A$26,1))+($C158-INDEX('Shultis Faw'!$A$2:$A$26,MATCH($C158,'Shultis Faw'!$A$2:$A$26,1)))*(INDEX('Shultis Faw'!$B$2:$B$26,MATCH($C158,'Shultis Faw'!$A$2:$A$26,1)+1)-INDEX('Shultis Faw'!$B$2:$B$26,MATCH($C158,'Shultis Faw'!$A$2:$A$26,1)))/(INDEX('Shultis Faw'!$A$2:$A$26,MATCH($C158,'Shultis Faw'!$A$2:$A$26,1)+1)-INDEX('Shultis Faw'!$A$2:$A$26,MATCH($C158,'Shultis Faw'!$A$2:$A$26,1))),$C158*'Shultis Faw'!$B$2/'Shultis Faw'!$A$2)</f>
        <v>-0.13204309</v>
      </c>
      <c r="L158" s="83">
        <f>_xlfn.IFNA(INDEX('Shultis Faw'!$E$2:$E$26,MATCH($C158,'Shultis Faw'!$A$2:$A$26,1))+($C158-INDEX('Shultis Faw'!$A$2:$A$26,MATCH($C158,'Shultis Faw'!$A$2:$A$26,1)))*(INDEX('Shultis Faw'!$E$2:$E$26,MATCH($C158,'Shultis Faw'!$A$2:$A$26,1)+1)-INDEX('Shultis Faw'!$E$2:$E$26,MATCH($C158,'Shultis Faw'!$A$2:$A$26,1)))/(INDEX('Shultis Faw'!$A$2:$A$26,MATCH($C158,'Shultis Faw'!$A$2:$A$26,1)+1)-INDEX('Shultis Faw'!$A$2:$A$26,MATCH($C158,'Shultis Faw'!$A$2:$A$26,1))),$C158*'Shultis Faw'!$E$2/'Shultis Faw'!$A$2)</f>
        <v>5.3444117000000006E-2</v>
      </c>
      <c r="M158" s="83">
        <f>_xlfn.IFNA(INDEX('Shultis Faw'!$F$2:$F$26,MATCH($C158,'Shultis Faw'!$A$2:$A$26,1))+($C158-INDEX('Shultis Faw'!$A$2:$A$26,MATCH($C158,'Shultis Faw'!$A$2:$A$26,1)))*(INDEX('Shultis Faw'!$F$2:$F$26,MATCH($C158,'Shultis Faw'!$A$2:$A$26,1)+1)-INDEX('Shultis Faw'!$F$2:$F$26,MATCH($C158,'Shultis Faw'!$A$2:$A$26,1)))/(INDEX('Shultis Faw'!$A$2:$A$26,MATCH($C158,'Shultis Faw'!$A$2:$A$26,1)+1)-INDEX('Shultis Faw'!$A$2:$A$26,MATCH($C158,'Shultis Faw'!$A$2:$A$26,1))),$C158*'Shultis Faw'!$F$2/'Shultis Faw'!$A$2)</f>
        <v>14.303119000000001</v>
      </c>
      <c r="N158" s="83">
        <f>J158*(H158*'Externe blootstelling'!$D$23/2)^K158+L158*(TANH(((H158*'Externe blootstelling'!$D$23)/(2*M158))-2)-TANH(-2))/(1-TANH(-2))</f>
        <v>1.6640846740535906</v>
      </c>
      <c r="O158" s="83">
        <f>IF(N158=1,1+(I158-1)*H158*'Externe blootstelling'!$D$23/2,1+(I158-1)*(N158^(H158*'Externe blootstelling'!$D$23/2)-1)/(N158-1))</f>
        <v>3.3420003461189318</v>
      </c>
      <c r="P158" s="67">
        <f>G158*EXP(-H158*'Externe blootstelling'!$D$23/2)*O158</f>
        <v>2.6990494760435984E-4</v>
      </c>
      <c r="Q158" s="68"/>
    </row>
    <row r="159" spans="1:17" x14ac:dyDescent="0.2">
      <c r="A159" s="217"/>
      <c r="B159" s="64" t="s">
        <v>104</v>
      </c>
      <c r="C159" s="66">
        <v>0.53424499999999997</v>
      </c>
      <c r="D159" s="66">
        <f t="shared" si="10"/>
        <v>8.5479199999999998E-14</v>
      </c>
      <c r="E159" s="66">
        <v>3.68E-4</v>
      </c>
      <c r="F159" s="66">
        <f>_xlfn.IFNA(INDEX('hp (pSv cm2)'!$B$2:$B$52,MATCH($C159,'hp (pSv cm2)'!$A$2:$A$52,1))+($C159-INDEX('hp (pSv cm2)'!$A$2:$A$52,MATCH($C159,'hp (pSv cm2)'!$A$2:$A$52,1)))*(INDEX('hp (pSv cm2)'!$B$2:$B$52,MATCH($C159,'hp (pSv cm2)'!$A$2:$A$52,1)+1)-INDEX('hp (pSv cm2)'!$B$2:$B$52,MATCH($C159,'hp (pSv cm2)'!$A$2:$A$52,1)))/(INDEX('hp (pSv cm2)'!$A$2:$A$52,MATCH($C159,'hp (pSv cm2)'!$A$2:$A$52,1)+1)-INDEX('hp (pSv cm2)'!$A$2:$A$52,MATCH($C159,'hp (pSv cm2)'!$A$2:$A$52,1))),$C159*'hp (pSv cm2)'!$B$2/'hp (pSv cm2)'!$A$2)</f>
        <v>2.6206780000000003</v>
      </c>
      <c r="G159" s="67">
        <f t="shared" si="11"/>
        <v>9.644095040000001E-4</v>
      </c>
      <c r="H159" s="83">
        <f>_xlfn.IFNA(0.997*(INDEX('Mass attenuation coefficients'!$B$2:$B$37,MATCH($C159,'Mass attenuation coefficients'!$A$2:$A$37,1))+($C159-INDEX('Mass attenuation coefficients'!$A$2:$A$37,MATCH($C159,'Mass attenuation coefficients'!$A$2:$A$37,1)))*(INDEX('Mass attenuation coefficients'!$B$2:$B$37,MATCH($C159,'Mass attenuation coefficients'!$A$2:$A$37,1)+1)-INDEX('Mass attenuation coefficients'!$B$2:$B$37,MATCH($C159,'Mass attenuation coefficients'!$A$2:$A$37,1)))/(INDEX('Mass attenuation coefficients'!$A$2:$A$37,MATCH($C159,'Mass attenuation coefficients'!$A$2:$A$37,1)+1)-INDEX('Mass attenuation coefficients'!$A$2:$A$37,MATCH($C159,'Mass attenuation coefficients'!$A$2:$A$37,1)))),0.997*$C159*'Mass attenuation coefficients'!$B$2/'Mass attenuation coefficients'!$A$2)</f>
        <v>9.4083590428500008E-2</v>
      </c>
      <c r="I159" s="83">
        <f>_xlfn.IFNA(INDEX('Shultis Faw'!$C$2:$C$26,MATCH($C159,'Shultis Faw'!$A$2:$A$26,1))+($C159-INDEX('Shultis Faw'!$A$2:$A$26,MATCH($C159,'Shultis Faw'!$A$2:$A$26,1)))*(INDEX('Shultis Faw'!$C$2:$C$26,MATCH($C159,'Shultis Faw'!$A$2:$A$26,1)+1)-INDEX('Shultis Faw'!$C$2:$C$26,MATCH($C159,'Shultis Faw'!$A$2:$A$26,1)))/(INDEX('Shultis Faw'!$A$2:$A$26,MATCH($C159,'Shultis Faw'!$A$2:$A$26,1)+1)-INDEX('Shultis Faw'!$A$2:$A$26,MATCH($C159,'Shultis Faw'!$A$2:$A$26,1))),$C159*'Shultis Faw'!$C$2/'Shultis Faw'!$A$2)</f>
        <v>2.4578786500000001</v>
      </c>
      <c r="J159" s="83">
        <f>_xlfn.IFNA(INDEX('Shultis Faw'!$D$2:$D$26,MATCH($C159,'Shultis Faw'!$A$2:$A$26,1))+($C159-INDEX('Shultis Faw'!$A$2:$A$26,MATCH($C159,'Shultis Faw'!$A$2:$A$26,1)))*(INDEX('Shultis Faw'!$D$2:$D$26,MATCH($C159,'Shultis Faw'!$A$2:$A$26,1)+1)-INDEX('Shultis Faw'!$D$2:$D$26,MATCH($C159,'Shultis Faw'!$A$2:$A$26,1)))/(INDEX('Shultis Faw'!$A$2:$A$26,MATCH($C159,'Shultis Faw'!$A$2:$A$26,1)+1)-INDEX('Shultis Faw'!$A$2:$A$26,MATCH($C159,'Shultis Faw'!$A$2:$A$26,1))),$C159*'Shultis Faw'!$D$2/'Shultis Faw'!$A$2)</f>
        <v>1.7362068500000001</v>
      </c>
      <c r="K159" s="83">
        <f>_xlfn.IFNA(INDEX('Shultis Faw'!$B$2:$B$26,MATCH($C159,'Shultis Faw'!$A$2:$A$26,1))+($C159-INDEX('Shultis Faw'!$A$2:$A$26,MATCH($C159,'Shultis Faw'!$A$2:$A$26,1)))*(INDEX('Shultis Faw'!$B$2:$B$26,MATCH($C159,'Shultis Faw'!$A$2:$A$26,1)+1)-INDEX('Shultis Faw'!$B$2:$B$26,MATCH($C159,'Shultis Faw'!$A$2:$A$26,1)))/(INDEX('Shultis Faw'!$A$2:$A$26,MATCH($C159,'Shultis Faw'!$A$2:$A$26,1)+1)-INDEX('Shultis Faw'!$A$2:$A$26,MATCH($C159,'Shultis Faw'!$A$2:$A$26,1))),$C159*'Shultis Faw'!$B$2/'Shultis Faw'!$A$2)</f>
        <v>-0.13123305000000002</v>
      </c>
      <c r="L159" s="83">
        <f>_xlfn.IFNA(INDEX('Shultis Faw'!$E$2:$E$26,MATCH($C159,'Shultis Faw'!$A$2:$A$26,1))+($C159-INDEX('Shultis Faw'!$A$2:$A$26,MATCH($C159,'Shultis Faw'!$A$2:$A$26,1)))*(INDEX('Shultis Faw'!$E$2:$E$26,MATCH($C159,'Shultis Faw'!$A$2:$A$26,1)+1)-INDEX('Shultis Faw'!$E$2:$E$26,MATCH($C159,'Shultis Faw'!$A$2:$A$26,1)))/(INDEX('Shultis Faw'!$A$2:$A$26,MATCH($C159,'Shultis Faw'!$A$2:$A$26,1)+1)-INDEX('Shultis Faw'!$A$2:$A$26,MATCH($C159,'Shultis Faw'!$A$2:$A$26,1))),$C159*'Shultis Faw'!$E$2/'Shultis Faw'!$A$2)</f>
        <v>5.3127464999999999E-2</v>
      </c>
      <c r="M159" s="83">
        <f>_xlfn.IFNA(INDEX('Shultis Faw'!$F$2:$F$26,MATCH($C159,'Shultis Faw'!$A$2:$A$26,1))+($C159-INDEX('Shultis Faw'!$A$2:$A$26,MATCH($C159,'Shultis Faw'!$A$2:$A$26,1)))*(INDEX('Shultis Faw'!$F$2:$F$26,MATCH($C159,'Shultis Faw'!$A$2:$A$26,1)+1)-INDEX('Shultis Faw'!$F$2:$F$26,MATCH($C159,'Shultis Faw'!$A$2:$A$26,1)))/(INDEX('Shultis Faw'!$A$2:$A$26,MATCH($C159,'Shultis Faw'!$A$2:$A$26,1)+1)-INDEX('Shultis Faw'!$A$2:$A$26,MATCH($C159,'Shultis Faw'!$A$2:$A$26,1))),$C159*'Shultis Faw'!$F$2/'Shultis Faw'!$A$2)</f>
        <v>14.295755</v>
      </c>
      <c r="N159" s="83">
        <f>J159*(H159*'Externe blootstelling'!$D$23/2)^K159+L159*(TANH(((H159*'Externe blootstelling'!$D$23)/(2*M159))-2)-TANH(-2))/(1-TANH(-2))</f>
        <v>1.6596736364591755</v>
      </c>
      <c r="O159" s="83">
        <f>IF(N159=1,1+(I159-1)*H159*'Externe blootstelling'!$D$23/2,1+(I159-1)*(N159^(H159*'Externe blootstelling'!$D$23/2)-1)/(N159-1))</f>
        <v>3.3075205608281557</v>
      </c>
      <c r="P159" s="67">
        <f>G159*EXP(-H159*'Externe blootstelling'!$D$23/2)*O159</f>
        <v>7.7779343256043434E-4</v>
      </c>
      <c r="Q159" s="68"/>
    </row>
    <row r="160" spans="1:17" x14ac:dyDescent="0.2">
      <c r="A160" s="217"/>
      <c r="B160" s="64" t="s">
        <v>104</v>
      </c>
      <c r="C160" s="66">
        <v>0.53539999999999999</v>
      </c>
      <c r="D160" s="66">
        <f t="shared" si="10"/>
        <v>8.5663999999999997E-14</v>
      </c>
      <c r="E160" s="66">
        <v>6.0000000000000002E-5</v>
      </c>
      <c r="F160" s="66">
        <f>_xlfn.IFNA(INDEX('hp (pSv cm2)'!$B$2:$B$52,MATCH($C160,'hp (pSv cm2)'!$A$2:$A$52,1))+($C160-INDEX('hp (pSv cm2)'!$A$2:$A$52,MATCH($C160,'hp (pSv cm2)'!$A$2:$A$52,1)))*(INDEX('hp (pSv cm2)'!$B$2:$B$52,MATCH($C160,'hp (pSv cm2)'!$A$2:$A$52,1)+1)-INDEX('hp (pSv cm2)'!$B$2:$B$52,MATCH($C160,'hp (pSv cm2)'!$A$2:$A$52,1)))/(INDEX('hp (pSv cm2)'!$A$2:$A$52,MATCH($C160,'hp (pSv cm2)'!$A$2:$A$52,1)+1)-INDEX('hp (pSv cm2)'!$A$2:$A$52,MATCH($C160,'hp (pSv cm2)'!$A$2:$A$52,1))),$C160*'hp (pSv cm2)'!$B$2/'hp (pSv cm2)'!$A$2)</f>
        <v>2.6257600000000001</v>
      </c>
      <c r="G160" s="67">
        <f t="shared" si="11"/>
        <v>1.575456E-4</v>
      </c>
      <c r="H160" s="83">
        <f>_xlfn.IFNA(0.997*(INDEX('Mass attenuation coefficients'!$B$2:$B$37,MATCH($C160,'Mass attenuation coefficients'!$A$2:$A$37,1))+($C160-INDEX('Mass attenuation coefficients'!$A$2:$A$37,MATCH($C160,'Mass attenuation coefficients'!$A$2:$A$37,1)))*(INDEX('Mass attenuation coefficients'!$B$2:$B$37,MATCH($C160,'Mass attenuation coefficients'!$A$2:$A$37,1)+1)-INDEX('Mass attenuation coefficients'!$B$2:$B$37,MATCH($C160,'Mass attenuation coefficients'!$A$2:$A$37,1)))/(INDEX('Mass attenuation coefficients'!$A$2:$A$37,MATCH($C160,'Mass attenuation coefficients'!$A$2:$A$37,1)+1)-INDEX('Mass attenuation coefficients'!$A$2:$A$37,MATCH($C160,'Mass attenuation coefficients'!$A$2:$A$37,1)))),0.997*$C160*'Mass attenuation coefficients'!$B$2/'Mass attenuation coefficients'!$A$2)</f>
        <v>9.3999413219999994E-2</v>
      </c>
      <c r="I160" s="83">
        <f>_xlfn.IFNA(INDEX('Shultis Faw'!$C$2:$C$26,MATCH($C160,'Shultis Faw'!$A$2:$A$26,1))+($C160-INDEX('Shultis Faw'!$A$2:$A$26,MATCH($C160,'Shultis Faw'!$A$2:$A$26,1)))*(INDEX('Shultis Faw'!$C$2:$C$26,MATCH($C160,'Shultis Faw'!$A$2:$A$26,1)+1)-INDEX('Shultis Faw'!$C$2:$C$26,MATCH($C160,'Shultis Faw'!$A$2:$A$26,1)))/(INDEX('Shultis Faw'!$A$2:$A$26,MATCH($C160,'Shultis Faw'!$A$2:$A$26,1)+1)-INDEX('Shultis Faw'!$A$2:$A$26,MATCH($C160,'Shultis Faw'!$A$2:$A$26,1))),$C160*'Shultis Faw'!$C$2/'Shultis Faw'!$A$2)</f>
        <v>2.456458</v>
      </c>
      <c r="J160" s="83">
        <f>_xlfn.IFNA(INDEX('Shultis Faw'!$D$2:$D$26,MATCH($C160,'Shultis Faw'!$A$2:$A$26,1))+($C160-INDEX('Shultis Faw'!$A$2:$A$26,MATCH($C160,'Shultis Faw'!$A$2:$A$26,1)))*(INDEX('Shultis Faw'!$D$2:$D$26,MATCH($C160,'Shultis Faw'!$A$2:$A$26,1)+1)-INDEX('Shultis Faw'!$D$2:$D$26,MATCH($C160,'Shultis Faw'!$A$2:$A$26,1)))/(INDEX('Shultis Faw'!$A$2:$A$26,MATCH($C160,'Shultis Faw'!$A$2:$A$26,1)+1)-INDEX('Shultis Faw'!$A$2:$A$26,MATCH($C160,'Shultis Faw'!$A$2:$A$26,1))),$C160*'Shultis Faw'!$D$2/'Shultis Faw'!$A$2)</f>
        <v>1.7352020000000001</v>
      </c>
      <c r="K160" s="83">
        <f>_xlfn.IFNA(INDEX('Shultis Faw'!$B$2:$B$26,MATCH($C160,'Shultis Faw'!$A$2:$A$26,1))+($C160-INDEX('Shultis Faw'!$A$2:$A$26,MATCH($C160,'Shultis Faw'!$A$2:$A$26,1)))*(INDEX('Shultis Faw'!$B$2:$B$26,MATCH($C160,'Shultis Faw'!$A$2:$A$26,1)+1)-INDEX('Shultis Faw'!$B$2:$B$26,MATCH($C160,'Shultis Faw'!$A$2:$A$26,1)))/(INDEX('Shultis Faw'!$A$2:$A$26,MATCH($C160,'Shultis Faw'!$A$2:$A$26,1)+1)-INDEX('Shultis Faw'!$A$2:$A$26,MATCH($C160,'Shultis Faw'!$A$2:$A$26,1))),$C160*'Shultis Faw'!$B$2/'Shultis Faw'!$A$2)</f>
        <v>-0.131106</v>
      </c>
      <c r="L160" s="83">
        <f>_xlfn.IFNA(INDEX('Shultis Faw'!$E$2:$E$26,MATCH($C160,'Shultis Faw'!$A$2:$A$26,1))+($C160-INDEX('Shultis Faw'!$A$2:$A$26,MATCH($C160,'Shultis Faw'!$A$2:$A$26,1)))*(INDEX('Shultis Faw'!$E$2:$E$26,MATCH($C160,'Shultis Faw'!$A$2:$A$26,1)+1)-INDEX('Shultis Faw'!$E$2:$E$26,MATCH($C160,'Shultis Faw'!$A$2:$A$26,1)))/(INDEX('Shultis Faw'!$A$2:$A$26,MATCH($C160,'Shultis Faw'!$A$2:$A$26,1)+1)-INDEX('Shultis Faw'!$A$2:$A$26,MATCH($C160,'Shultis Faw'!$A$2:$A$26,1))),$C160*'Shultis Faw'!$E$2/'Shultis Faw'!$A$2)</f>
        <v>5.3077800000000001E-2</v>
      </c>
      <c r="M160" s="83">
        <f>_xlfn.IFNA(INDEX('Shultis Faw'!$F$2:$F$26,MATCH($C160,'Shultis Faw'!$A$2:$A$26,1))+($C160-INDEX('Shultis Faw'!$A$2:$A$26,MATCH($C160,'Shultis Faw'!$A$2:$A$26,1)))*(INDEX('Shultis Faw'!$F$2:$F$26,MATCH($C160,'Shultis Faw'!$A$2:$A$26,1)+1)-INDEX('Shultis Faw'!$F$2:$F$26,MATCH($C160,'Shultis Faw'!$A$2:$A$26,1)))/(INDEX('Shultis Faw'!$A$2:$A$26,MATCH($C160,'Shultis Faw'!$A$2:$A$26,1)+1)-INDEX('Shultis Faw'!$A$2:$A$26,MATCH($C160,'Shultis Faw'!$A$2:$A$26,1))),$C160*'Shultis Faw'!$F$2/'Shultis Faw'!$A$2)</f>
        <v>14.294600000000001</v>
      </c>
      <c r="N160" s="83">
        <f>J160*(H160*'Externe blootstelling'!$D$23/2)^K160+L160*(TANH(((H160*'Externe blootstelling'!$D$23)/(2*M160))-2)-TANH(-2))/(1-TANH(-2))</f>
        <v>1.6589800613119297</v>
      </c>
      <c r="O160" s="83">
        <f>IF(N160=1,1+(I160-1)*H160*'Externe blootstelling'!$D$23/2,1+(I160-1)*(N160^(H160*'Externe blootstelling'!$D$23/2)-1)/(N160-1))</f>
        <v>3.3021490047048139</v>
      </c>
      <c r="P160" s="67">
        <f>G160*EXP(-H160*'Externe blootstelling'!$D$23/2)*O160</f>
        <v>1.2701398670666463E-4</v>
      </c>
      <c r="Q160" s="68"/>
    </row>
    <row r="161" spans="1:17" x14ac:dyDescent="0.2">
      <c r="A161" s="217"/>
      <c r="B161" s="64" t="s">
        <v>104</v>
      </c>
      <c r="C161" s="66">
        <v>0.53828999999999994</v>
      </c>
      <c r="D161" s="66">
        <f t="shared" si="10"/>
        <v>8.6126399999999974E-14</v>
      </c>
      <c r="E161" s="66">
        <v>4.1999999999999998E-5</v>
      </c>
      <c r="F161" s="66">
        <f>_xlfn.IFNA(INDEX('hp (pSv cm2)'!$B$2:$B$52,MATCH($C161,'hp (pSv cm2)'!$A$2:$A$52,1))+($C161-INDEX('hp (pSv cm2)'!$A$2:$A$52,MATCH($C161,'hp (pSv cm2)'!$A$2:$A$52,1)))*(INDEX('hp (pSv cm2)'!$B$2:$B$52,MATCH($C161,'hp (pSv cm2)'!$A$2:$A$52,1)+1)-INDEX('hp (pSv cm2)'!$B$2:$B$52,MATCH($C161,'hp (pSv cm2)'!$A$2:$A$52,1)))/(INDEX('hp (pSv cm2)'!$A$2:$A$52,MATCH($C161,'hp (pSv cm2)'!$A$2:$A$52,1)+1)-INDEX('hp (pSv cm2)'!$A$2:$A$52,MATCH($C161,'hp (pSv cm2)'!$A$2:$A$52,1))),$C161*'hp (pSv cm2)'!$B$2/'hp (pSv cm2)'!$A$2)</f>
        <v>2.6384759999999998</v>
      </c>
      <c r="G161" s="67">
        <f t="shared" si="11"/>
        <v>1.1081599199999998E-4</v>
      </c>
      <c r="H161" s="83">
        <f>_xlfn.IFNA(0.997*(INDEX('Mass attenuation coefficients'!$B$2:$B$37,MATCH($C161,'Mass attenuation coefficients'!$A$2:$A$37,1))+($C161-INDEX('Mass attenuation coefficients'!$A$2:$A$37,MATCH($C161,'Mass attenuation coefficients'!$A$2:$A$37,1)))*(INDEX('Mass attenuation coefficients'!$B$2:$B$37,MATCH($C161,'Mass attenuation coefficients'!$A$2:$A$37,1)+1)-INDEX('Mass attenuation coefficients'!$B$2:$B$37,MATCH($C161,'Mass attenuation coefficients'!$A$2:$A$37,1)))/(INDEX('Mass attenuation coefficients'!$A$2:$A$37,MATCH($C161,'Mass attenuation coefficients'!$A$2:$A$37,1)+1)-INDEX('Mass attenuation coefficients'!$A$2:$A$37,MATCH($C161,'Mass attenuation coefficients'!$A$2:$A$37,1)))),0.997*$C161*'Mass attenuation coefficients'!$B$2/'Mass attenuation coefficients'!$A$2)</f>
        <v>9.3788787996999995E-2</v>
      </c>
      <c r="I161" s="83">
        <f>_xlfn.IFNA(INDEX('Shultis Faw'!$C$2:$C$26,MATCH($C161,'Shultis Faw'!$A$2:$A$26,1))+($C161-INDEX('Shultis Faw'!$A$2:$A$26,MATCH($C161,'Shultis Faw'!$A$2:$A$26,1)))*(INDEX('Shultis Faw'!$C$2:$C$26,MATCH($C161,'Shultis Faw'!$A$2:$A$26,1)+1)-INDEX('Shultis Faw'!$C$2:$C$26,MATCH($C161,'Shultis Faw'!$A$2:$A$26,1)))/(INDEX('Shultis Faw'!$A$2:$A$26,MATCH($C161,'Shultis Faw'!$A$2:$A$26,1)+1)-INDEX('Shultis Faw'!$A$2:$A$26,MATCH($C161,'Shultis Faw'!$A$2:$A$26,1))),$C161*'Shultis Faw'!$C$2/'Shultis Faw'!$A$2)</f>
        <v>2.4529033</v>
      </c>
      <c r="J161" s="83">
        <f>_xlfn.IFNA(INDEX('Shultis Faw'!$D$2:$D$26,MATCH($C161,'Shultis Faw'!$A$2:$A$26,1))+($C161-INDEX('Shultis Faw'!$A$2:$A$26,MATCH($C161,'Shultis Faw'!$A$2:$A$26,1)))*(INDEX('Shultis Faw'!$D$2:$D$26,MATCH($C161,'Shultis Faw'!$A$2:$A$26,1)+1)-INDEX('Shultis Faw'!$D$2:$D$26,MATCH($C161,'Shultis Faw'!$A$2:$A$26,1)))/(INDEX('Shultis Faw'!$A$2:$A$26,MATCH($C161,'Shultis Faw'!$A$2:$A$26,1)+1)-INDEX('Shultis Faw'!$A$2:$A$26,MATCH($C161,'Shultis Faw'!$A$2:$A$26,1))),$C161*'Shultis Faw'!$D$2/'Shultis Faw'!$A$2)</f>
        <v>1.7326877000000001</v>
      </c>
      <c r="K161" s="83">
        <f>_xlfn.IFNA(INDEX('Shultis Faw'!$B$2:$B$26,MATCH($C161,'Shultis Faw'!$A$2:$A$26,1))+($C161-INDEX('Shultis Faw'!$A$2:$A$26,MATCH($C161,'Shultis Faw'!$A$2:$A$26,1)))*(INDEX('Shultis Faw'!$B$2:$B$26,MATCH($C161,'Shultis Faw'!$A$2:$A$26,1)+1)-INDEX('Shultis Faw'!$B$2:$B$26,MATCH($C161,'Shultis Faw'!$A$2:$A$26,1)))/(INDEX('Shultis Faw'!$A$2:$A$26,MATCH($C161,'Shultis Faw'!$A$2:$A$26,1)+1)-INDEX('Shultis Faw'!$A$2:$A$26,MATCH($C161,'Shultis Faw'!$A$2:$A$26,1))),$C161*'Shultis Faw'!$B$2/'Shultis Faw'!$A$2)</f>
        <v>-0.13078810000000002</v>
      </c>
      <c r="L161" s="83">
        <f>_xlfn.IFNA(INDEX('Shultis Faw'!$E$2:$E$26,MATCH($C161,'Shultis Faw'!$A$2:$A$26,1))+($C161-INDEX('Shultis Faw'!$A$2:$A$26,MATCH($C161,'Shultis Faw'!$A$2:$A$26,1)))*(INDEX('Shultis Faw'!$E$2:$E$26,MATCH($C161,'Shultis Faw'!$A$2:$A$26,1)+1)-INDEX('Shultis Faw'!$E$2:$E$26,MATCH($C161,'Shultis Faw'!$A$2:$A$26,1)))/(INDEX('Shultis Faw'!$A$2:$A$26,MATCH($C161,'Shultis Faw'!$A$2:$A$26,1)+1)-INDEX('Shultis Faw'!$A$2:$A$26,MATCH($C161,'Shultis Faw'!$A$2:$A$26,1))),$C161*'Shultis Faw'!$E$2/'Shultis Faw'!$A$2)</f>
        <v>5.2953530000000006E-2</v>
      </c>
      <c r="M161" s="83">
        <f>_xlfn.IFNA(INDEX('Shultis Faw'!$F$2:$F$26,MATCH($C161,'Shultis Faw'!$A$2:$A$26,1))+($C161-INDEX('Shultis Faw'!$A$2:$A$26,MATCH($C161,'Shultis Faw'!$A$2:$A$26,1)))*(INDEX('Shultis Faw'!$F$2:$F$26,MATCH($C161,'Shultis Faw'!$A$2:$A$26,1)+1)-INDEX('Shultis Faw'!$F$2:$F$26,MATCH($C161,'Shultis Faw'!$A$2:$A$26,1)))/(INDEX('Shultis Faw'!$A$2:$A$26,MATCH($C161,'Shultis Faw'!$A$2:$A$26,1)+1)-INDEX('Shultis Faw'!$A$2:$A$26,MATCH($C161,'Shultis Faw'!$A$2:$A$26,1))),$C161*'Shultis Faw'!$F$2/'Shultis Faw'!$A$2)</f>
        <v>14.29171</v>
      </c>
      <c r="N161" s="83">
        <f>J161*(H161*'Externe blootstelling'!$D$23/2)^K161+L161*(TANH(((H161*'Externe blootstelling'!$D$23)/(2*M161))-2)-TANH(-2))/(1-TANH(-2))</f>
        <v>1.6572425668249204</v>
      </c>
      <c r="O161" s="83">
        <f>IF(N161=1,1+(I161-1)*H161*'Externe blootstelling'!$D$23/2,1+(I161-1)*(N161^(H161*'Externe blootstelling'!$D$23/2)-1)/(N161-1))</f>
        <v>3.2887514910683802</v>
      </c>
      <c r="P161" s="67">
        <f>G161*EXP(-H161*'Externe blootstelling'!$D$23/2)*O161</f>
        <v>8.9259448698821581E-5</v>
      </c>
      <c r="Q161" s="68"/>
    </row>
    <row r="162" spans="1:17" x14ac:dyDescent="0.2">
      <c r="A162" s="217"/>
      <c r="B162" s="64" t="s">
        <v>104</v>
      </c>
      <c r="C162" s="66">
        <v>0.55655999999999994</v>
      </c>
      <c r="D162" s="66">
        <f t="shared" si="10"/>
        <v>8.9049599999999993E-14</v>
      </c>
      <c r="E162" s="66">
        <v>1.7699999999999999E-4</v>
      </c>
      <c r="F162" s="66">
        <f>_xlfn.IFNA(INDEX('hp (pSv cm2)'!$B$2:$B$52,MATCH($C162,'hp (pSv cm2)'!$A$2:$A$52,1))+($C162-INDEX('hp (pSv cm2)'!$A$2:$A$52,MATCH($C162,'hp (pSv cm2)'!$A$2:$A$52,1)))*(INDEX('hp (pSv cm2)'!$B$2:$B$52,MATCH($C162,'hp (pSv cm2)'!$A$2:$A$52,1)+1)-INDEX('hp (pSv cm2)'!$B$2:$B$52,MATCH($C162,'hp (pSv cm2)'!$A$2:$A$52,1)))/(INDEX('hp (pSv cm2)'!$A$2:$A$52,MATCH($C162,'hp (pSv cm2)'!$A$2:$A$52,1)+1)-INDEX('hp (pSv cm2)'!$A$2:$A$52,MATCH($C162,'hp (pSv cm2)'!$A$2:$A$52,1))),$C162*'hp (pSv cm2)'!$B$2/'hp (pSv cm2)'!$A$2)</f>
        <v>2.7188639999999999</v>
      </c>
      <c r="G162" s="67">
        <f t="shared" si="11"/>
        <v>4.8123892799999997E-4</v>
      </c>
      <c r="H162" s="83">
        <f>_xlfn.IFNA(0.997*(INDEX('Mass attenuation coefficients'!$B$2:$B$37,MATCH($C162,'Mass attenuation coefficients'!$A$2:$A$37,1))+($C162-INDEX('Mass attenuation coefficients'!$A$2:$A$37,MATCH($C162,'Mass attenuation coefficients'!$A$2:$A$37,1)))*(INDEX('Mass attenuation coefficients'!$B$2:$B$37,MATCH($C162,'Mass attenuation coefficients'!$A$2:$A$37,1)+1)-INDEX('Mass attenuation coefficients'!$B$2:$B$37,MATCH($C162,'Mass attenuation coefficients'!$A$2:$A$37,1)))/(INDEX('Mass attenuation coefficients'!$A$2:$A$37,MATCH($C162,'Mass attenuation coefficients'!$A$2:$A$37,1)+1)-INDEX('Mass attenuation coefficients'!$A$2:$A$37,MATCH($C162,'Mass attenuation coefficients'!$A$2:$A$37,1)))),0.997*$C162*'Mass attenuation coefficients'!$B$2/'Mass attenuation coefficients'!$A$2)</f>
        <v>9.2457257607999999E-2</v>
      </c>
      <c r="I162" s="83">
        <f>_xlfn.IFNA(INDEX('Shultis Faw'!$C$2:$C$26,MATCH($C162,'Shultis Faw'!$A$2:$A$26,1))+($C162-INDEX('Shultis Faw'!$A$2:$A$26,MATCH($C162,'Shultis Faw'!$A$2:$A$26,1)))*(INDEX('Shultis Faw'!$C$2:$C$26,MATCH($C162,'Shultis Faw'!$A$2:$A$26,1)+1)-INDEX('Shultis Faw'!$C$2:$C$26,MATCH($C162,'Shultis Faw'!$A$2:$A$26,1)))/(INDEX('Shultis Faw'!$A$2:$A$26,MATCH($C162,'Shultis Faw'!$A$2:$A$26,1)+1)-INDEX('Shultis Faw'!$A$2:$A$26,MATCH($C162,'Shultis Faw'!$A$2:$A$26,1))),$C162*'Shultis Faw'!$C$2/'Shultis Faw'!$A$2)</f>
        <v>2.4304312000000001</v>
      </c>
      <c r="J162" s="83">
        <f>_xlfn.IFNA(INDEX('Shultis Faw'!$D$2:$D$26,MATCH($C162,'Shultis Faw'!$A$2:$A$26,1))+($C162-INDEX('Shultis Faw'!$A$2:$A$26,MATCH($C162,'Shultis Faw'!$A$2:$A$26,1)))*(INDEX('Shultis Faw'!$D$2:$D$26,MATCH($C162,'Shultis Faw'!$A$2:$A$26,1)+1)-INDEX('Shultis Faw'!$D$2:$D$26,MATCH($C162,'Shultis Faw'!$A$2:$A$26,1)))/(INDEX('Shultis Faw'!$A$2:$A$26,MATCH($C162,'Shultis Faw'!$A$2:$A$26,1)+1)-INDEX('Shultis Faw'!$A$2:$A$26,MATCH($C162,'Shultis Faw'!$A$2:$A$26,1))),$C162*'Shultis Faw'!$D$2/'Shultis Faw'!$A$2)</f>
        <v>1.7167928000000001</v>
      </c>
      <c r="K162" s="83">
        <f>_xlfn.IFNA(INDEX('Shultis Faw'!$B$2:$B$26,MATCH($C162,'Shultis Faw'!$A$2:$A$26,1))+($C162-INDEX('Shultis Faw'!$A$2:$A$26,MATCH($C162,'Shultis Faw'!$A$2:$A$26,1)))*(INDEX('Shultis Faw'!$B$2:$B$26,MATCH($C162,'Shultis Faw'!$A$2:$A$26,1)+1)-INDEX('Shultis Faw'!$B$2:$B$26,MATCH($C162,'Shultis Faw'!$A$2:$A$26,1)))/(INDEX('Shultis Faw'!$A$2:$A$26,MATCH($C162,'Shultis Faw'!$A$2:$A$26,1)+1)-INDEX('Shultis Faw'!$A$2:$A$26,MATCH($C162,'Shultis Faw'!$A$2:$A$26,1))),$C162*'Shultis Faw'!$B$2/'Shultis Faw'!$A$2)</f>
        <v>-0.12877840000000002</v>
      </c>
      <c r="L162" s="83">
        <f>_xlfn.IFNA(INDEX('Shultis Faw'!$E$2:$E$26,MATCH($C162,'Shultis Faw'!$A$2:$A$26,1))+($C162-INDEX('Shultis Faw'!$A$2:$A$26,MATCH($C162,'Shultis Faw'!$A$2:$A$26,1)))*(INDEX('Shultis Faw'!$E$2:$E$26,MATCH($C162,'Shultis Faw'!$A$2:$A$26,1)+1)-INDEX('Shultis Faw'!$E$2:$E$26,MATCH($C162,'Shultis Faw'!$A$2:$A$26,1)))/(INDEX('Shultis Faw'!$A$2:$A$26,MATCH($C162,'Shultis Faw'!$A$2:$A$26,1)+1)-INDEX('Shultis Faw'!$A$2:$A$26,MATCH($C162,'Shultis Faw'!$A$2:$A$26,1))),$C162*'Shultis Faw'!$E$2/'Shultis Faw'!$A$2)</f>
        <v>5.216792E-2</v>
      </c>
      <c r="M162" s="83">
        <f>_xlfn.IFNA(INDEX('Shultis Faw'!$F$2:$F$26,MATCH($C162,'Shultis Faw'!$A$2:$A$26,1))+($C162-INDEX('Shultis Faw'!$A$2:$A$26,MATCH($C162,'Shultis Faw'!$A$2:$A$26,1)))*(INDEX('Shultis Faw'!$F$2:$F$26,MATCH($C162,'Shultis Faw'!$A$2:$A$26,1)+1)-INDEX('Shultis Faw'!$F$2:$F$26,MATCH($C162,'Shultis Faw'!$A$2:$A$26,1)))/(INDEX('Shultis Faw'!$A$2:$A$26,MATCH($C162,'Shultis Faw'!$A$2:$A$26,1)+1)-INDEX('Shultis Faw'!$A$2:$A$26,MATCH($C162,'Shultis Faw'!$A$2:$A$26,1))),$C162*'Shultis Faw'!$F$2/'Shultis Faw'!$A$2)</f>
        <v>14.273440000000001</v>
      </c>
      <c r="N162" s="83">
        <f>J162*(H162*'Externe blootstelling'!$D$23/2)^K162+L162*(TANH(((H162*'Externe blootstelling'!$D$23)/(2*M162))-2)-TANH(-2))/(1-TANH(-2))</f>
        <v>1.6461904972555446</v>
      </c>
      <c r="O162" s="83">
        <f>IF(N162=1,1+(I162-1)*H162*'Externe blootstelling'!$D$23/2,1+(I162-1)*(N162^(H162*'Externe blootstelling'!$D$23/2)-1)/(N162-1))</f>
        <v>3.20546207477723</v>
      </c>
      <c r="P162" s="67">
        <f>G162*EXP(-H162*'Externe blootstelling'!$D$23/2)*O162</f>
        <v>3.8543064497426754E-4</v>
      </c>
      <c r="Q162" s="68"/>
    </row>
    <row r="163" spans="1:17" x14ac:dyDescent="0.2">
      <c r="A163" s="217"/>
      <c r="B163" s="64" t="s">
        <v>104</v>
      </c>
      <c r="C163" s="66">
        <v>0.55791000000000002</v>
      </c>
      <c r="D163" s="66">
        <f t="shared" si="10"/>
        <v>8.9265599999999992E-14</v>
      </c>
      <c r="E163" s="66">
        <v>4.4000000000000006E-5</v>
      </c>
      <c r="F163" s="66">
        <f>_xlfn.IFNA(INDEX('hp (pSv cm2)'!$B$2:$B$52,MATCH($C163,'hp (pSv cm2)'!$A$2:$A$52,1))+($C163-INDEX('hp (pSv cm2)'!$A$2:$A$52,MATCH($C163,'hp (pSv cm2)'!$A$2:$A$52,1)))*(INDEX('hp (pSv cm2)'!$B$2:$B$52,MATCH($C163,'hp (pSv cm2)'!$A$2:$A$52,1)+1)-INDEX('hp (pSv cm2)'!$B$2:$B$52,MATCH($C163,'hp (pSv cm2)'!$A$2:$A$52,1)))/(INDEX('hp (pSv cm2)'!$A$2:$A$52,MATCH($C163,'hp (pSv cm2)'!$A$2:$A$52,1)+1)-INDEX('hp (pSv cm2)'!$A$2:$A$52,MATCH($C163,'hp (pSv cm2)'!$A$2:$A$52,1))),$C163*'hp (pSv cm2)'!$B$2/'hp (pSv cm2)'!$A$2)</f>
        <v>2.7248040000000002</v>
      </c>
      <c r="G163" s="67">
        <f t="shared" si="11"/>
        <v>1.1989137600000002E-4</v>
      </c>
      <c r="H163" s="83">
        <f>_xlfn.IFNA(0.997*(INDEX('Mass attenuation coefficients'!$B$2:$B$37,MATCH($C163,'Mass attenuation coefficients'!$A$2:$A$37,1))+($C163-INDEX('Mass attenuation coefficients'!$A$2:$A$37,MATCH($C163,'Mass attenuation coefficients'!$A$2:$A$37,1)))*(INDEX('Mass attenuation coefficients'!$B$2:$B$37,MATCH($C163,'Mass attenuation coefficients'!$A$2:$A$37,1)+1)-INDEX('Mass attenuation coefficients'!$B$2:$B$37,MATCH($C163,'Mass attenuation coefficients'!$A$2:$A$37,1)))/(INDEX('Mass attenuation coefficients'!$A$2:$A$37,MATCH($C163,'Mass attenuation coefficients'!$A$2:$A$37,1)+1)-INDEX('Mass attenuation coefficients'!$A$2:$A$37,MATCH($C163,'Mass attenuation coefficients'!$A$2:$A$37,1)))),0.997*$C163*'Mass attenuation coefficients'!$B$2/'Mass attenuation coefficients'!$A$2)</f>
        <v>9.2358868662999999E-2</v>
      </c>
      <c r="I163" s="83">
        <f>_xlfn.IFNA(INDEX('Shultis Faw'!$C$2:$C$26,MATCH($C163,'Shultis Faw'!$A$2:$A$26,1))+($C163-INDEX('Shultis Faw'!$A$2:$A$26,MATCH($C163,'Shultis Faw'!$A$2:$A$26,1)))*(INDEX('Shultis Faw'!$C$2:$C$26,MATCH($C163,'Shultis Faw'!$A$2:$A$26,1)+1)-INDEX('Shultis Faw'!$C$2:$C$26,MATCH($C163,'Shultis Faw'!$A$2:$A$26,1)))/(INDEX('Shultis Faw'!$A$2:$A$26,MATCH($C163,'Shultis Faw'!$A$2:$A$26,1)+1)-INDEX('Shultis Faw'!$A$2:$A$26,MATCH($C163,'Shultis Faw'!$A$2:$A$26,1))),$C163*'Shultis Faw'!$C$2/'Shultis Faw'!$A$2)</f>
        <v>2.4287706999999998</v>
      </c>
      <c r="J163" s="83">
        <f>_xlfn.IFNA(INDEX('Shultis Faw'!$D$2:$D$26,MATCH($C163,'Shultis Faw'!$A$2:$A$26,1))+($C163-INDEX('Shultis Faw'!$A$2:$A$26,MATCH($C163,'Shultis Faw'!$A$2:$A$26,1)))*(INDEX('Shultis Faw'!$D$2:$D$26,MATCH($C163,'Shultis Faw'!$A$2:$A$26,1)+1)-INDEX('Shultis Faw'!$D$2:$D$26,MATCH($C163,'Shultis Faw'!$A$2:$A$26,1)))/(INDEX('Shultis Faw'!$A$2:$A$26,MATCH($C163,'Shultis Faw'!$A$2:$A$26,1)+1)-INDEX('Shultis Faw'!$A$2:$A$26,MATCH($C163,'Shultis Faw'!$A$2:$A$26,1))),$C163*'Shultis Faw'!$D$2/'Shultis Faw'!$A$2)</f>
        <v>1.7156183</v>
      </c>
      <c r="K163" s="83">
        <f>_xlfn.IFNA(INDEX('Shultis Faw'!$B$2:$B$26,MATCH($C163,'Shultis Faw'!$A$2:$A$26,1))+($C163-INDEX('Shultis Faw'!$A$2:$A$26,MATCH($C163,'Shultis Faw'!$A$2:$A$26,1)))*(INDEX('Shultis Faw'!$B$2:$B$26,MATCH($C163,'Shultis Faw'!$A$2:$A$26,1)+1)-INDEX('Shultis Faw'!$B$2:$B$26,MATCH($C163,'Shultis Faw'!$A$2:$A$26,1)))/(INDEX('Shultis Faw'!$A$2:$A$26,MATCH($C163,'Shultis Faw'!$A$2:$A$26,1)+1)-INDEX('Shultis Faw'!$A$2:$A$26,MATCH($C163,'Shultis Faw'!$A$2:$A$26,1))),$C163*'Shultis Faw'!$B$2/'Shultis Faw'!$A$2)</f>
        <v>-0.12862989999999999</v>
      </c>
      <c r="L163" s="83">
        <f>_xlfn.IFNA(INDEX('Shultis Faw'!$E$2:$E$26,MATCH($C163,'Shultis Faw'!$A$2:$A$26,1))+($C163-INDEX('Shultis Faw'!$A$2:$A$26,MATCH($C163,'Shultis Faw'!$A$2:$A$26,1)))*(INDEX('Shultis Faw'!$E$2:$E$26,MATCH($C163,'Shultis Faw'!$A$2:$A$26,1)+1)-INDEX('Shultis Faw'!$E$2:$E$26,MATCH($C163,'Shultis Faw'!$A$2:$A$26,1)))/(INDEX('Shultis Faw'!$A$2:$A$26,MATCH($C163,'Shultis Faw'!$A$2:$A$26,1)+1)-INDEX('Shultis Faw'!$A$2:$A$26,MATCH($C163,'Shultis Faw'!$A$2:$A$26,1))),$C163*'Shultis Faw'!$E$2/'Shultis Faw'!$A$2)</f>
        <v>5.2109869999999996E-2</v>
      </c>
      <c r="M163" s="83">
        <f>_xlfn.IFNA(INDEX('Shultis Faw'!$F$2:$F$26,MATCH($C163,'Shultis Faw'!$A$2:$A$26,1))+($C163-INDEX('Shultis Faw'!$A$2:$A$26,MATCH($C163,'Shultis Faw'!$A$2:$A$26,1)))*(INDEX('Shultis Faw'!$F$2:$F$26,MATCH($C163,'Shultis Faw'!$A$2:$A$26,1)+1)-INDEX('Shultis Faw'!$F$2:$F$26,MATCH($C163,'Shultis Faw'!$A$2:$A$26,1)))/(INDEX('Shultis Faw'!$A$2:$A$26,MATCH($C163,'Shultis Faw'!$A$2:$A$26,1)+1)-INDEX('Shultis Faw'!$A$2:$A$26,MATCH($C163,'Shultis Faw'!$A$2:$A$26,1))),$C163*'Shultis Faw'!$F$2/'Shultis Faw'!$A$2)</f>
        <v>14.27209</v>
      </c>
      <c r="N163" s="83">
        <f>J163*(H163*'Externe blootstelling'!$D$23/2)^K163+L163*(TANH(((H163*'Externe blootstelling'!$D$23)/(2*M163))-2)-TANH(-2))/(1-TANH(-2))</f>
        <v>1.6453691840553946</v>
      </c>
      <c r="O163" s="83">
        <f>IF(N163=1,1+(I163-1)*H163*'Externe blootstelling'!$D$23/2,1+(I163-1)*(N163^(H163*'Externe blootstelling'!$D$23/2)-1)/(N163-1))</f>
        <v>3.1994030426322202</v>
      </c>
      <c r="P163" s="67">
        <f>G163*EXP(-H163*'Externe blootstelling'!$D$23/2)*O163</f>
        <v>9.5982640416538285E-5</v>
      </c>
      <c r="Q163" s="68"/>
    </row>
    <row r="164" spans="1:17" x14ac:dyDescent="0.2">
      <c r="A164" s="217"/>
      <c r="B164" s="64" t="s">
        <v>104</v>
      </c>
      <c r="C164" s="66">
        <v>0.56120000000000003</v>
      </c>
      <c r="D164" s="66">
        <f t="shared" ref="D164:D195" si="12">C164*1000000*1.6E-19</f>
        <v>8.9791999999999995E-14</v>
      </c>
      <c r="E164" s="66">
        <v>1.08E-5</v>
      </c>
      <c r="F164" s="66">
        <f>_xlfn.IFNA(INDEX('hp (pSv cm2)'!$B$2:$B$52,MATCH($C164,'hp (pSv cm2)'!$A$2:$A$52,1))+($C164-INDEX('hp (pSv cm2)'!$A$2:$A$52,MATCH($C164,'hp (pSv cm2)'!$A$2:$A$52,1)))*(INDEX('hp (pSv cm2)'!$B$2:$B$52,MATCH($C164,'hp (pSv cm2)'!$A$2:$A$52,1)+1)-INDEX('hp (pSv cm2)'!$B$2:$B$52,MATCH($C164,'hp (pSv cm2)'!$A$2:$A$52,1)))/(INDEX('hp (pSv cm2)'!$A$2:$A$52,MATCH($C164,'hp (pSv cm2)'!$A$2:$A$52,1)+1)-INDEX('hp (pSv cm2)'!$A$2:$A$52,MATCH($C164,'hp (pSv cm2)'!$A$2:$A$52,1))),$C164*'hp (pSv cm2)'!$B$2/'hp (pSv cm2)'!$A$2)</f>
        <v>2.7392800000000004</v>
      </c>
      <c r="G164" s="67">
        <f t="shared" ref="G164:G195" si="13">F164*E164</f>
        <v>2.9584224000000003E-5</v>
      </c>
      <c r="H164" s="83">
        <f>_xlfn.IFNA(0.997*(INDEX('Mass attenuation coefficients'!$B$2:$B$37,MATCH($C164,'Mass attenuation coefficients'!$A$2:$A$37,1))+($C164-INDEX('Mass attenuation coefficients'!$A$2:$A$37,MATCH($C164,'Mass attenuation coefficients'!$A$2:$A$37,1)))*(INDEX('Mass attenuation coefficients'!$B$2:$B$37,MATCH($C164,'Mass attenuation coefficients'!$A$2:$A$37,1)+1)-INDEX('Mass attenuation coefficients'!$B$2:$B$37,MATCH($C164,'Mass attenuation coefficients'!$A$2:$A$37,1)))/(INDEX('Mass attenuation coefficients'!$A$2:$A$37,MATCH($C164,'Mass attenuation coefficients'!$A$2:$A$37,1)+1)-INDEX('Mass attenuation coefficients'!$A$2:$A$37,MATCH($C164,'Mass attenuation coefficients'!$A$2:$A$37,1)))),0.997*$C164*'Mass attenuation coefficients'!$B$2/'Mass attenuation coefficients'!$A$2)</f>
        <v>9.211909116E-2</v>
      </c>
      <c r="I164" s="83">
        <f>_xlfn.IFNA(INDEX('Shultis Faw'!$C$2:$C$26,MATCH($C164,'Shultis Faw'!$A$2:$A$26,1))+($C164-INDEX('Shultis Faw'!$A$2:$A$26,MATCH($C164,'Shultis Faw'!$A$2:$A$26,1)))*(INDEX('Shultis Faw'!$C$2:$C$26,MATCH($C164,'Shultis Faw'!$A$2:$A$26,1)+1)-INDEX('Shultis Faw'!$C$2:$C$26,MATCH($C164,'Shultis Faw'!$A$2:$A$26,1)))/(INDEX('Shultis Faw'!$A$2:$A$26,MATCH($C164,'Shultis Faw'!$A$2:$A$26,1)+1)-INDEX('Shultis Faw'!$A$2:$A$26,MATCH($C164,'Shultis Faw'!$A$2:$A$26,1))),$C164*'Shultis Faw'!$C$2/'Shultis Faw'!$A$2)</f>
        <v>2.4247239999999999</v>
      </c>
      <c r="J164" s="83">
        <f>_xlfn.IFNA(INDEX('Shultis Faw'!$D$2:$D$26,MATCH($C164,'Shultis Faw'!$A$2:$A$26,1))+($C164-INDEX('Shultis Faw'!$A$2:$A$26,MATCH($C164,'Shultis Faw'!$A$2:$A$26,1)))*(INDEX('Shultis Faw'!$D$2:$D$26,MATCH($C164,'Shultis Faw'!$A$2:$A$26,1)+1)-INDEX('Shultis Faw'!$D$2:$D$26,MATCH($C164,'Shultis Faw'!$A$2:$A$26,1)))/(INDEX('Shultis Faw'!$A$2:$A$26,MATCH($C164,'Shultis Faw'!$A$2:$A$26,1)+1)-INDEX('Shultis Faw'!$A$2:$A$26,MATCH($C164,'Shultis Faw'!$A$2:$A$26,1))),$C164*'Shultis Faw'!$D$2/'Shultis Faw'!$A$2)</f>
        <v>1.7127559999999999</v>
      </c>
      <c r="K164" s="83">
        <f>_xlfn.IFNA(INDEX('Shultis Faw'!$B$2:$B$26,MATCH($C164,'Shultis Faw'!$A$2:$A$26,1))+($C164-INDEX('Shultis Faw'!$A$2:$A$26,MATCH($C164,'Shultis Faw'!$A$2:$A$26,1)))*(INDEX('Shultis Faw'!$B$2:$B$26,MATCH($C164,'Shultis Faw'!$A$2:$A$26,1)+1)-INDEX('Shultis Faw'!$B$2:$B$26,MATCH($C164,'Shultis Faw'!$A$2:$A$26,1)))/(INDEX('Shultis Faw'!$A$2:$A$26,MATCH($C164,'Shultis Faw'!$A$2:$A$26,1)+1)-INDEX('Shultis Faw'!$A$2:$A$26,MATCH($C164,'Shultis Faw'!$A$2:$A$26,1))),$C164*'Shultis Faw'!$B$2/'Shultis Faw'!$A$2)</f>
        <v>-0.12826799999999999</v>
      </c>
      <c r="L164" s="83">
        <f>_xlfn.IFNA(INDEX('Shultis Faw'!$E$2:$E$26,MATCH($C164,'Shultis Faw'!$A$2:$A$26,1))+($C164-INDEX('Shultis Faw'!$A$2:$A$26,MATCH($C164,'Shultis Faw'!$A$2:$A$26,1)))*(INDEX('Shultis Faw'!$E$2:$E$26,MATCH($C164,'Shultis Faw'!$A$2:$A$26,1)+1)-INDEX('Shultis Faw'!$E$2:$E$26,MATCH($C164,'Shultis Faw'!$A$2:$A$26,1)))/(INDEX('Shultis Faw'!$A$2:$A$26,MATCH($C164,'Shultis Faw'!$A$2:$A$26,1)+1)-INDEX('Shultis Faw'!$A$2:$A$26,MATCH($C164,'Shultis Faw'!$A$2:$A$26,1))),$C164*'Shultis Faw'!$E$2/'Shultis Faw'!$A$2)</f>
        <v>5.1968399999999998E-2</v>
      </c>
      <c r="M164" s="83">
        <f>_xlfn.IFNA(INDEX('Shultis Faw'!$F$2:$F$26,MATCH($C164,'Shultis Faw'!$A$2:$A$26,1))+($C164-INDEX('Shultis Faw'!$A$2:$A$26,MATCH($C164,'Shultis Faw'!$A$2:$A$26,1)))*(INDEX('Shultis Faw'!$F$2:$F$26,MATCH($C164,'Shultis Faw'!$A$2:$A$26,1)+1)-INDEX('Shultis Faw'!$F$2:$F$26,MATCH($C164,'Shultis Faw'!$A$2:$A$26,1)))/(INDEX('Shultis Faw'!$A$2:$A$26,MATCH($C164,'Shultis Faw'!$A$2:$A$26,1)+1)-INDEX('Shultis Faw'!$A$2:$A$26,MATCH($C164,'Shultis Faw'!$A$2:$A$26,1))),$C164*'Shultis Faw'!$F$2/'Shultis Faw'!$A$2)</f>
        <v>14.268800000000001</v>
      </c>
      <c r="N164" s="83">
        <f>J164*(H164*'Externe blootstelling'!$D$23/2)^K164+L164*(TANH(((H164*'Externe blootstelling'!$D$23)/(2*M164))-2)-TANH(-2))/(1-TANH(-2))</f>
        <v>1.6433649286977208</v>
      </c>
      <c r="O164" s="83">
        <f>IF(N164=1,1+(I164-1)*H164*'Externe blootstelling'!$D$23/2,1+(I164-1)*(N164^(H164*'Externe blootstelling'!$D$23/2)-1)/(N164-1))</f>
        <v>3.1846913117786184</v>
      </c>
      <c r="P164" s="67">
        <f>G164*EXP(-H164*'Externe blootstelling'!$D$23/2)*O164</f>
        <v>2.366057696263149E-5</v>
      </c>
      <c r="Q164" s="68"/>
    </row>
    <row r="165" spans="1:17" x14ac:dyDescent="0.2">
      <c r="A165" s="217"/>
      <c r="B165" s="64" t="s">
        <v>104</v>
      </c>
      <c r="C165" s="66">
        <v>0.56292999999999993</v>
      </c>
      <c r="D165" s="66">
        <f t="shared" si="12"/>
        <v>9.0068799999999978E-14</v>
      </c>
      <c r="E165" s="66">
        <v>3.7999999999999997E-4</v>
      </c>
      <c r="F165" s="66">
        <f>_xlfn.IFNA(INDEX('hp (pSv cm2)'!$B$2:$B$52,MATCH($C165,'hp (pSv cm2)'!$A$2:$A$52,1))+($C165-INDEX('hp (pSv cm2)'!$A$2:$A$52,MATCH($C165,'hp (pSv cm2)'!$A$2:$A$52,1)))*(INDEX('hp (pSv cm2)'!$B$2:$B$52,MATCH($C165,'hp (pSv cm2)'!$A$2:$A$52,1)+1)-INDEX('hp (pSv cm2)'!$B$2:$B$52,MATCH($C165,'hp (pSv cm2)'!$A$2:$A$52,1)))/(INDEX('hp (pSv cm2)'!$A$2:$A$52,MATCH($C165,'hp (pSv cm2)'!$A$2:$A$52,1)+1)-INDEX('hp (pSv cm2)'!$A$2:$A$52,MATCH($C165,'hp (pSv cm2)'!$A$2:$A$52,1))),$C165*'hp (pSv cm2)'!$B$2/'hp (pSv cm2)'!$A$2)</f>
        <v>2.7468919999999999</v>
      </c>
      <c r="G165" s="67">
        <f t="shared" si="13"/>
        <v>1.0438189599999998E-3</v>
      </c>
      <c r="H165" s="83">
        <f>_xlfn.IFNA(0.997*(INDEX('Mass attenuation coefficients'!$B$2:$B$37,MATCH($C165,'Mass attenuation coefficients'!$A$2:$A$37,1))+($C165-INDEX('Mass attenuation coefficients'!$A$2:$A$37,MATCH($C165,'Mass attenuation coefficients'!$A$2:$A$37,1)))*(INDEX('Mass attenuation coefficients'!$B$2:$B$37,MATCH($C165,'Mass attenuation coefficients'!$A$2:$A$37,1)+1)-INDEX('Mass attenuation coefficients'!$B$2:$B$37,MATCH($C165,'Mass attenuation coefficients'!$A$2:$A$37,1)))/(INDEX('Mass attenuation coefficients'!$A$2:$A$37,MATCH($C165,'Mass attenuation coefficients'!$A$2:$A$37,1)+1)-INDEX('Mass attenuation coefficients'!$A$2:$A$37,MATCH($C165,'Mass attenuation coefficients'!$A$2:$A$37,1)))),0.997*$C165*'Mass attenuation coefficients'!$B$2/'Mass attenuation coefficients'!$A$2)</f>
        <v>9.1993007549E-2</v>
      </c>
      <c r="I165" s="83">
        <f>_xlfn.IFNA(INDEX('Shultis Faw'!$C$2:$C$26,MATCH($C165,'Shultis Faw'!$A$2:$A$26,1))+($C165-INDEX('Shultis Faw'!$A$2:$A$26,MATCH($C165,'Shultis Faw'!$A$2:$A$26,1)))*(INDEX('Shultis Faw'!$C$2:$C$26,MATCH($C165,'Shultis Faw'!$A$2:$A$26,1)+1)-INDEX('Shultis Faw'!$C$2:$C$26,MATCH($C165,'Shultis Faw'!$A$2:$A$26,1)))/(INDEX('Shultis Faw'!$A$2:$A$26,MATCH($C165,'Shultis Faw'!$A$2:$A$26,1)+1)-INDEX('Shultis Faw'!$A$2:$A$26,MATCH($C165,'Shultis Faw'!$A$2:$A$26,1))),$C165*'Shultis Faw'!$C$2/'Shultis Faw'!$A$2)</f>
        <v>2.4225960999999998</v>
      </c>
      <c r="J165" s="83">
        <f>_xlfn.IFNA(INDEX('Shultis Faw'!$D$2:$D$26,MATCH($C165,'Shultis Faw'!$A$2:$A$26,1))+($C165-INDEX('Shultis Faw'!$A$2:$A$26,MATCH($C165,'Shultis Faw'!$A$2:$A$26,1)))*(INDEX('Shultis Faw'!$D$2:$D$26,MATCH($C165,'Shultis Faw'!$A$2:$A$26,1)+1)-INDEX('Shultis Faw'!$D$2:$D$26,MATCH($C165,'Shultis Faw'!$A$2:$A$26,1)))/(INDEX('Shultis Faw'!$A$2:$A$26,MATCH($C165,'Shultis Faw'!$A$2:$A$26,1)+1)-INDEX('Shultis Faw'!$A$2:$A$26,MATCH($C165,'Shultis Faw'!$A$2:$A$26,1))),$C165*'Shultis Faw'!$D$2/'Shultis Faw'!$A$2)</f>
        <v>1.7112509</v>
      </c>
      <c r="K165" s="83">
        <f>_xlfn.IFNA(INDEX('Shultis Faw'!$B$2:$B$26,MATCH($C165,'Shultis Faw'!$A$2:$A$26,1))+($C165-INDEX('Shultis Faw'!$A$2:$A$26,MATCH($C165,'Shultis Faw'!$A$2:$A$26,1)))*(INDEX('Shultis Faw'!$B$2:$B$26,MATCH($C165,'Shultis Faw'!$A$2:$A$26,1)+1)-INDEX('Shultis Faw'!$B$2:$B$26,MATCH($C165,'Shultis Faw'!$A$2:$A$26,1)))/(INDEX('Shultis Faw'!$A$2:$A$26,MATCH($C165,'Shultis Faw'!$A$2:$A$26,1)+1)-INDEX('Shultis Faw'!$A$2:$A$26,MATCH($C165,'Shultis Faw'!$A$2:$A$26,1))),$C165*'Shultis Faw'!$B$2/'Shultis Faw'!$A$2)</f>
        <v>-0.12807770000000002</v>
      </c>
      <c r="L165" s="83">
        <f>_xlfn.IFNA(INDEX('Shultis Faw'!$E$2:$E$26,MATCH($C165,'Shultis Faw'!$A$2:$A$26,1))+($C165-INDEX('Shultis Faw'!$A$2:$A$26,MATCH($C165,'Shultis Faw'!$A$2:$A$26,1)))*(INDEX('Shultis Faw'!$E$2:$E$26,MATCH($C165,'Shultis Faw'!$A$2:$A$26,1)+1)-INDEX('Shultis Faw'!$E$2:$E$26,MATCH($C165,'Shultis Faw'!$A$2:$A$26,1)))/(INDEX('Shultis Faw'!$A$2:$A$26,MATCH($C165,'Shultis Faw'!$A$2:$A$26,1)+1)-INDEX('Shultis Faw'!$A$2:$A$26,MATCH($C165,'Shultis Faw'!$A$2:$A$26,1))),$C165*'Shultis Faw'!$E$2/'Shultis Faw'!$A$2)</f>
        <v>5.1894010000000004E-2</v>
      </c>
      <c r="M165" s="83">
        <f>_xlfn.IFNA(INDEX('Shultis Faw'!$F$2:$F$26,MATCH($C165,'Shultis Faw'!$A$2:$A$26,1))+($C165-INDEX('Shultis Faw'!$A$2:$A$26,MATCH($C165,'Shultis Faw'!$A$2:$A$26,1)))*(INDEX('Shultis Faw'!$F$2:$F$26,MATCH($C165,'Shultis Faw'!$A$2:$A$26,1)+1)-INDEX('Shultis Faw'!$F$2:$F$26,MATCH($C165,'Shultis Faw'!$A$2:$A$26,1)))/(INDEX('Shultis Faw'!$A$2:$A$26,MATCH($C165,'Shultis Faw'!$A$2:$A$26,1)+1)-INDEX('Shultis Faw'!$A$2:$A$26,MATCH($C165,'Shultis Faw'!$A$2:$A$26,1))),$C165*'Shultis Faw'!$F$2/'Shultis Faw'!$A$2)</f>
        <v>14.26707</v>
      </c>
      <c r="N165" s="83">
        <f>J165*(H165*'Externe blootstelling'!$D$23/2)^K165+L165*(TANH(((H165*'Externe blootstelling'!$D$23)/(2*M165))-2)-TANH(-2))/(1-TANH(-2))</f>
        <v>1.6423094920164556</v>
      </c>
      <c r="O165" s="83">
        <f>IF(N165=1,1+(I165-1)*H165*'Externe blootstelling'!$D$23/2,1+(I165-1)*(N165^(H165*'Externe blootstelling'!$D$23/2)-1)/(N165-1))</f>
        <v>3.1769861837854547</v>
      </c>
      <c r="P165" s="67">
        <f>G165*EXP(-H165*'Externe blootstelling'!$D$23/2)*O165</f>
        <v>8.3437190870787944E-4</v>
      </c>
      <c r="Q165" s="68"/>
    </row>
    <row r="166" spans="1:17" x14ac:dyDescent="0.2">
      <c r="A166" s="217"/>
      <c r="B166" s="64" t="s">
        <v>104</v>
      </c>
      <c r="C166" s="66">
        <v>0.56398999999999999</v>
      </c>
      <c r="D166" s="66">
        <f t="shared" si="12"/>
        <v>9.02384E-14</v>
      </c>
      <c r="E166" s="66">
        <v>4.5700000000000003E-3</v>
      </c>
      <c r="F166" s="66">
        <f>_xlfn.IFNA(INDEX('hp (pSv cm2)'!$B$2:$B$52,MATCH($C166,'hp (pSv cm2)'!$A$2:$A$52,1))+($C166-INDEX('hp (pSv cm2)'!$A$2:$A$52,MATCH($C166,'hp (pSv cm2)'!$A$2:$A$52,1)))*(INDEX('hp (pSv cm2)'!$B$2:$B$52,MATCH($C166,'hp (pSv cm2)'!$A$2:$A$52,1)+1)-INDEX('hp (pSv cm2)'!$B$2:$B$52,MATCH($C166,'hp (pSv cm2)'!$A$2:$A$52,1)))/(INDEX('hp (pSv cm2)'!$A$2:$A$52,MATCH($C166,'hp (pSv cm2)'!$A$2:$A$52,1)+1)-INDEX('hp (pSv cm2)'!$A$2:$A$52,MATCH($C166,'hp (pSv cm2)'!$A$2:$A$52,1))),$C166*'hp (pSv cm2)'!$B$2/'hp (pSv cm2)'!$A$2)</f>
        <v>2.7515560000000003</v>
      </c>
      <c r="G166" s="67">
        <f t="shared" si="13"/>
        <v>1.2574610920000001E-2</v>
      </c>
      <c r="H166" s="83">
        <f>_xlfn.IFNA(0.997*(INDEX('Mass attenuation coefficients'!$B$2:$B$37,MATCH($C166,'Mass attenuation coefficients'!$A$2:$A$37,1))+($C166-INDEX('Mass attenuation coefficients'!$A$2:$A$37,MATCH($C166,'Mass attenuation coefficients'!$A$2:$A$37,1)))*(INDEX('Mass attenuation coefficients'!$B$2:$B$37,MATCH($C166,'Mass attenuation coefficients'!$A$2:$A$37,1)+1)-INDEX('Mass attenuation coefficients'!$B$2:$B$37,MATCH($C166,'Mass attenuation coefficients'!$A$2:$A$37,1)))/(INDEX('Mass attenuation coefficients'!$A$2:$A$37,MATCH($C166,'Mass attenuation coefficients'!$A$2:$A$37,1)+1)-INDEX('Mass attenuation coefficients'!$A$2:$A$37,MATCH($C166,'Mass attenuation coefficients'!$A$2:$A$37,1)))),0.997*$C166*'Mass attenuation coefficients'!$B$2/'Mass attenuation coefficients'!$A$2)</f>
        <v>9.1915754007E-2</v>
      </c>
      <c r="I166" s="83">
        <f>_xlfn.IFNA(INDEX('Shultis Faw'!$C$2:$C$26,MATCH($C166,'Shultis Faw'!$A$2:$A$26,1))+($C166-INDEX('Shultis Faw'!$A$2:$A$26,MATCH($C166,'Shultis Faw'!$A$2:$A$26,1)))*(INDEX('Shultis Faw'!$C$2:$C$26,MATCH($C166,'Shultis Faw'!$A$2:$A$26,1)+1)-INDEX('Shultis Faw'!$C$2:$C$26,MATCH($C166,'Shultis Faw'!$A$2:$A$26,1)))/(INDEX('Shultis Faw'!$A$2:$A$26,MATCH($C166,'Shultis Faw'!$A$2:$A$26,1)+1)-INDEX('Shultis Faw'!$A$2:$A$26,MATCH($C166,'Shultis Faw'!$A$2:$A$26,1))),$C166*'Shultis Faw'!$C$2/'Shultis Faw'!$A$2)</f>
        <v>2.4212922999999997</v>
      </c>
      <c r="J166" s="83">
        <f>_xlfn.IFNA(INDEX('Shultis Faw'!$D$2:$D$26,MATCH($C166,'Shultis Faw'!$A$2:$A$26,1))+($C166-INDEX('Shultis Faw'!$A$2:$A$26,MATCH($C166,'Shultis Faw'!$A$2:$A$26,1)))*(INDEX('Shultis Faw'!$D$2:$D$26,MATCH($C166,'Shultis Faw'!$A$2:$A$26,1)+1)-INDEX('Shultis Faw'!$D$2:$D$26,MATCH($C166,'Shultis Faw'!$A$2:$A$26,1)))/(INDEX('Shultis Faw'!$A$2:$A$26,MATCH($C166,'Shultis Faw'!$A$2:$A$26,1)+1)-INDEX('Shultis Faw'!$A$2:$A$26,MATCH($C166,'Shultis Faw'!$A$2:$A$26,1))),$C166*'Shultis Faw'!$D$2/'Shultis Faw'!$A$2)</f>
        <v>1.7103287</v>
      </c>
      <c r="K166" s="83">
        <f>_xlfn.IFNA(INDEX('Shultis Faw'!$B$2:$B$26,MATCH($C166,'Shultis Faw'!$A$2:$A$26,1))+($C166-INDEX('Shultis Faw'!$A$2:$A$26,MATCH($C166,'Shultis Faw'!$A$2:$A$26,1)))*(INDEX('Shultis Faw'!$B$2:$B$26,MATCH($C166,'Shultis Faw'!$A$2:$A$26,1)+1)-INDEX('Shultis Faw'!$B$2:$B$26,MATCH($C166,'Shultis Faw'!$A$2:$A$26,1)))/(INDEX('Shultis Faw'!$A$2:$A$26,MATCH($C166,'Shultis Faw'!$A$2:$A$26,1)+1)-INDEX('Shultis Faw'!$A$2:$A$26,MATCH($C166,'Shultis Faw'!$A$2:$A$26,1))),$C166*'Shultis Faw'!$B$2/'Shultis Faw'!$A$2)</f>
        <v>-0.12796109999999999</v>
      </c>
      <c r="L166" s="83">
        <f>_xlfn.IFNA(INDEX('Shultis Faw'!$E$2:$E$26,MATCH($C166,'Shultis Faw'!$A$2:$A$26,1))+($C166-INDEX('Shultis Faw'!$A$2:$A$26,MATCH($C166,'Shultis Faw'!$A$2:$A$26,1)))*(INDEX('Shultis Faw'!$E$2:$E$26,MATCH($C166,'Shultis Faw'!$A$2:$A$26,1)+1)-INDEX('Shultis Faw'!$E$2:$E$26,MATCH($C166,'Shultis Faw'!$A$2:$A$26,1)))/(INDEX('Shultis Faw'!$A$2:$A$26,MATCH($C166,'Shultis Faw'!$A$2:$A$26,1)+1)-INDEX('Shultis Faw'!$A$2:$A$26,MATCH($C166,'Shultis Faw'!$A$2:$A$26,1))),$C166*'Shultis Faw'!$E$2/'Shultis Faw'!$A$2)</f>
        <v>5.1848430000000001E-2</v>
      </c>
      <c r="M166" s="83">
        <f>_xlfn.IFNA(INDEX('Shultis Faw'!$F$2:$F$26,MATCH($C166,'Shultis Faw'!$A$2:$A$26,1))+($C166-INDEX('Shultis Faw'!$A$2:$A$26,MATCH($C166,'Shultis Faw'!$A$2:$A$26,1)))*(INDEX('Shultis Faw'!$F$2:$F$26,MATCH($C166,'Shultis Faw'!$A$2:$A$26,1)+1)-INDEX('Shultis Faw'!$F$2:$F$26,MATCH($C166,'Shultis Faw'!$A$2:$A$26,1)))/(INDEX('Shultis Faw'!$A$2:$A$26,MATCH($C166,'Shultis Faw'!$A$2:$A$26,1)+1)-INDEX('Shultis Faw'!$A$2:$A$26,MATCH($C166,'Shultis Faw'!$A$2:$A$26,1))),$C166*'Shultis Faw'!$F$2/'Shultis Faw'!$A$2)</f>
        <v>14.26601</v>
      </c>
      <c r="N166" s="83">
        <f>J166*(H166*'Externe blootstelling'!$D$23/2)^K166+L166*(TANH(((H166*'Externe blootstelling'!$D$23)/(2*M166))-2)-TANH(-2))/(1-TANH(-2))</f>
        <v>1.6416622881564216</v>
      </c>
      <c r="O166" s="83">
        <f>IF(N166=1,1+(I166-1)*H166*'Externe blootstelling'!$D$23/2,1+(I166-1)*(N166^(H166*'Externe blootstelling'!$D$23/2)-1)/(N166-1))</f>
        <v>3.172275589873526</v>
      </c>
      <c r="P166" s="67">
        <f>G166*EXP(-H166*'Externe blootstelling'!$D$23/2)*O166</f>
        <v>1.0048191285323806E-2</v>
      </c>
      <c r="Q166" s="68"/>
    </row>
    <row r="167" spans="1:17" x14ac:dyDescent="0.2">
      <c r="A167" s="217"/>
      <c r="B167" s="64" t="s">
        <v>104</v>
      </c>
      <c r="C167" s="66">
        <v>0.566442</v>
      </c>
      <c r="D167" s="66">
        <f t="shared" si="12"/>
        <v>9.0630719999999998E-14</v>
      </c>
      <c r="E167" s="66">
        <v>1.31E-3</v>
      </c>
      <c r="F167" s="66">
        <f>_xlfn.IFNA(INDEX('hp (pSv cm2)'!$B$2:$B$52,MATCH($C167,'hp (pSv cm2)'!$A$2:$A$52,1))+($C167-INDEX('hp (pSv cm2)'!$A$2:$A$52,MATCH($C167,'hp (pSv cm2)'!$A$2:$A$52,1)))*(INDEX('hp (pSv cm2)'!$B$2:$B$52,MATCH($C167,'hp (pSv cm2)'!$A$2:$A$52,1)+1)-INDEX('hp (pSv cm2)'!$B$2:$B$52,MATCH($C167,'hp (pSv cm2)'!$A$2:$A$52,1)))/(INDEX('hp (pSv cm2)'!$A$2:$A$52,MATCH($C167,'hp (pSv cm2)'!$A$2:$A$52,1)+1)-INDEX('hp (pSv cm2)'!$A$2:$A$52,MATCH($C167,'hp (pSv cm2)'!$A$2:$A$52,1))),$C167*'hp (pSv cm2)'!$B$2/'hp (pSv cm2)'!$A$2)</f>
        <v>2.7623448000000002</v>
      </c>
      <c r="G167" s="67">
        <f t="shared" si="13"/>
        <v>3.6186716880000002E-3</v>
      </c>
      <c r="H167" s="83">
        <f>_xlfn.IFNA(0.997*(INDEX('Mass attenuation coefficients'!$B$2:$B$37,MATCH($C167,'Mass attenuation coefficients'!$A$2:$A$37,1))+($C167-INDEX('Mass attenuation coefficients'!$A$2:$A$37,MATCH($C167,'Mass attenuation coefficients'!$A$2:$A$37,1)))*(INDEX('Mass attenuation coefficients'!$B$2:$B$37,MATCH($C167,'Mass attenuation coefficients'!$A$2:$A$37,1)+1)-INDEX('Mass attenuation coefficients'!$B$2:$B$37,MATCH($C167,'Mass attenuation coefficients'!$A$2:$A$37,1)))/(INDEX('Mass attenuation coefficients'!$A$2:$A$37,MATCH($C167,'Mass attenuation coefficients'!$A$2:$A$37,1)+1)-INDEX('Mass attenuation coefficients'!$A$2:$A$37,MATCH($C167,'Mass attenuation coefficients'!$A$2:$A$37,1)))),0.997*$C167*'Mass attenuation coefficients'!$B$2/'Mass attenuation coefficients'!$A$2)</f>
        <v>9.1737050530600009E-2</v>
      </c>
      <c r="I167" s="83">
        <f>_xlfn.IFNA(INDEX('Shultis Faw'!$C$2:$C$26,MATCH($C167,'Shultis Faw'!$A$2:$A$26,1))+($C167-INDEX('Shultis Faw'!$A$2:$A$26,MATCH($C167,'Shultis Faw'!$A$2:$A$26,1)))*(INDEX('Shultis Faw'!$C$2:$C$26,MATCH($C167,'Shultis Faw'!$A$2:$A$26,1)+1)-INDEX('Shultis Faw'!$C$2:$C$26,MATCH($C167,'Shultis Faw'!$A$2:$A$26,1)))/(INDEX('Shultis Faw'!$A$2:$A$26,MATCH($C167,'Shultis Faw'!$A$2:$A$26,1)+1)-INDEX('Shultis Faw'!$A$2:$A$26,MATCH($C167,'Shultis Faw'!$A$2:$A$26,1))),$C167*'Shultis Faw'!$C$2/'Shultis Faw'!$A$2)</f>
        <v>2.4182763399999998</v>
      </c>
      <c r="J167" s="83">
        <f>_xlfn.IFNA(INDEX('Shultis Faw'!$D$2:$D$26,MATCH($C167,'Shultis Faw'!$A$2:$A$26,1))+($C167-INDEX('Shultis Faw'!$A$2:$A$26,MATCH($C167,'Shultis Faw'!$A$2:$A$26,1)))*(INDEX('Shultis Faw'!$D$2:$D$26,MATCH($C167,'Shultis Faw'!$A$2:$A$26,1)+1)-INDEX('Shultis Faw'!$D$2:$D$26,MATCH($C167,'Shultis Faw'!$A$2:$A$26,1)))/(INDEX('Shultis Faw'!$A$2:$A$26,MATCH($C167,'Shultis Faw'!$A$2:$A$26,1)+1)-INDEX('Shultis Faw'!$A$2:$A$26,MATCH($C167,'Shultis Faw'!$A$2:$A$26,1))),$C167*'Shultis Faw'!$D$2/'Shultis Faw'!$A$2)</f>
        <v>1.70819546</v>
      </c>
      <c r="K167" s="83">
        <f>_xlfn.IFNA(INDEX('Shultis Faw'!$B$2:$B$26,MATCH($C167,'Shultis Faw'!$A$2:$A$26,1))+($C167-INDEX('Shultis Faw'!$A$2:$A$26,MATCH($C167,'Shultis Faw'!$A$2:$A$26,1)))*(INDEX('Shultis Faw'!$B$2:$B$26,MATCH($C167,'Shultis Faw'!$A$2:$A$26,1)+1)-INDEX('Shultis Faw'!$B$2:$B$26,MATCH($C167,'Shultis Faw'!$A$2:$A$26,1)))/(INDEX('Shultis Faw'!$A$2:$A$26,MATCH($C167,'Shultis Faw'!$A$2:$A$26,1)+1)-INDEX('Shultis Faw'!$A$2:$A$26,MATCH($C167,'Shultis Faw'!$A$2:$A$26,1))),$C167*'Shultis Faw'!$B$2/'Shultis Faw'!$A$2)</f>
        <v>-0.12769137999999999</v>
      </c>
      <c r="L167" s="83">
        <f>_xlfn.IFNA(INDEX('Shultis Faw'!$E$2:$E$26,MATCH($C167,'Shultis Faw'!$A$2:$A$26,1))+($C167-INDEX('Shultis Faw'!$A$2:$A$26,MATCH($C167,'Shultis Faw'!$A$2:$A$26,1)))*(INDEX('Shultis Faw'!$E$2:$E$26,MATCH($C167,'Shultis Faw'!$A$2:$A$26,1)+1)-INDEX('Shultis Faw'!$E$2:$E$26,MATCH($C167,'Shultis Faw'!$A$2:$A$26,1)))/(INDEX('Shultis Faw'!$A$2:$A$26,MATCH($C167,'Shultis Faw'!$A$2:$A$26,1)+1)-INDEX('Shultis Faw'!$A$2:$A$26,MATCH($C167,'Shultis Faw'!$A$2:$A$26,1))),$C167*'Shultis Faw'!$E$2/'Shultis Faw'!$A$2)</f>
        <v>5.1742994E-2</v>
      </c>
      <c r="M167" s="83">
        <f>_xlfn.IFNA(INDEX('Shultis Faw'!$F$2:$F$26,MATCH($C167,'Shultis Faw'!$A$2:$A$26,1))+($C167-INDEX('Shultis Faw'!$A$2:$A$26,MATCH($C167,'Shultis Faw'!$A$2:$A$26,1)))*(INDEX('Shultis Faw'!$F$2:$F$26,MATCH($C167,'Shultis Faw'!$A$2:$A$26,1)+1)-INDEX('Shultis Faw'!$F$2:$F$26,MATCH($C167,'Shultis Faw'!$A$2:$A$26,1)))/(INDEX('Shultis Faw'!$A$2:$A$26,MATCH($C167,'Shultis Faw'!$A$2:$A$26,1)+1)-INDEX('Shultis Faw'!$A$2:$A$26,MATCH($C167,'Shultis Faw'!$A$2:$A$26,1))),$C167*'Shultis Faw'!$F$2/'Shultis Faw'!$A$2)</f>
        <v>14.263558</v>
      </c>
      <c r="N167" s="83">
        <f>J167*(H167*'Externe blootstelling'!$D$23/2)^K167+L167*(TANH(((H167*'Externe blootstelling'!$D$23)/(2*M167))-2)-TANH(-2))/(1-TANH(-2))</f>
        <v>1.6401636568127089</v>
      </c>
      <c r="O167" s="83">
        <f>IF(N167=1,1+(I167-1)*H167*'Externe blootstelling'!$D$23/2,1+(I167-1)*(N167^(H167*'Externe blootstelling'!$D$23/2)-1)/(N167-1))</f>
        <v>3.1614094101362729</v>
      </c>
      <c r="P167" s="67">
        <f>G167*EXP(-H167*'Externe blootstelling'!$D$23/2)*O167</f>
        <v>2.889458769376527E-3</v>
      </c>
      <c r="Q167" s="68"/>
    </row>
    <row r="168" spans="1:17" x14ac:dyDescent="0.2">
      <c r="A168" s="217"/>
      <c r="B168" s="64" t="s">
        <v>104</v>
      </c>
      <c r="C168" s="66">
        <v>0.57183000000000006</v>
      </c>
      <c r="D168" s="66">
        <f t="shared" si="12"/>
        <v>9.149280000000001E-14</v>
      </c>
      <c r="E168" s="66">
        <v>4.7999999999999994E-5</v>
      </c>
      <c r="F168" s="66">
        <f>_xlfn.IFNA(INDEX('hp (pSv cm2)'!$B$2:$B$52,MATCH($C168,'hp (pSv cm2)'!$A$2:$A$52,1))+($C168-INDEX('hp (pSv cm2)'!$A$2:$A$52,MATCH($C168,'hp (pSv cm2)'!$A$2:$A$52,1)))*(INDEX('hp (pSv cm2)'!$B$2:$B$52,MATCH($C168,'hp (pSv cm2)'!$A$2:$A$52,1)+1)-INDEX('hp (pSv cm2)'!$B$2:$B$52,MATCH($C168,'hp (pSv cm2)'!$A$2:$A$52,1)))/(INDEX('hp (pSv cm2)'!$A$2:$A$52,MATCH($C168,'hp (pSv cm2)'!$A$2:$A$52,1)+1)-INDEX('hp (pSv cm2)'!$A$2:$A$52,MATCH($C168,'hp (pSv cm2)'!$A$2:$A$52,1))),$C168*'hp (pSv cm2)'!$B$2/'hp (pSv cm2)'!$A$2)</f>
        <v>2.7860520000000006</v>
      </c>
      <c r="G168" s="67">
        <f t="shared" si="13"/>
        <v>1.3373049600000001E-4</v>
      </c>
      <c r="H168" s="83">
        <f>_xlfn.IFNA(0.997*(INDEX('Mass attenuation coefficients'!$B$2:$B$37,MATCH($C168,'Mass attenuation coefficients'!$A$2:$A$37,1))+($C168-INDEX('Mass attenuation coefficients'!$A$2:$A$37,MATCH($C168,'Mass attenuation coefficients'!$A$2:$A$37,1)))*(INDEX('Mass attenuation coefficients'!$B$2:$B$37,MATCH($C168,'Mass attenuation coefficients'!$A$2:$A$37,1)+1)-INDEX('Mass attenuation coefficients'!$B$2:$B$37,MATCH($C168,'Mass attenuation coefficients'!$A$2:$A$37,1)))/(INDEX('Mass attenuation coefficients'!$A$2:$A$37,MATCH($C168,'Mass attenuation coefficients'!$A$2:$A$37,1)+1)-INDEX('Mass attenuation coefficients'!$A$2:$A$37,MATCH($C168,'Mass attenuation coefficients'!$A$2:$A$37,1)))),0.997*$C168*'Mass attenuation coefficients'!$B$2/'Mass attenuation coefficients'!$A$2)</f>
        <v>9.1344369319000002E-2</v>
      </c>
      <c r="I168" s="83">
        <f>_xlfn.IFNA(INDEX('Shultis Faw'!$C$2:$C$26,MATCH($C168,'Shultis Faw'!$A$2:$A$26,1))+($C168-INDEX('Shultis Faw'!$A$2:$A$26,MATCH($C168,'Shultis Faw'!$A$2:$A$26,1)))*(INDEX('Shultis Faw'!$C$2:$C$26,MATCH($C168,'Shultis Faw'!$A$2:$A$26,1)+1)-INDEX('Shultis Faw'!$C$2:$C$26,MATCH($C168,'Shultis Faw'!$A$2:$A$26,1)))/(INDEX('Shultis Faw'!$A$2:$A$26,MATCH($C168,'Shultis Faw'!$A$2:$A$26,1)+1)-INDEX('Shultis Faw'!$A$2:$A$26,MATCH($C168,'Shultis Faw'!$A$2:$A$26,1))),$C168*'Shultis Faw'!$C$2/'Shultis Faw'!$A$2)</f>
        <v>2.4116490999999995</v>
      </c>
      <c r="J168" s="83">
        <f>_xlfn.IFNA(INDEX('Shultis Faw'!$D$2:$D$26,MATCH($C168,'Shultis Faw'!$A$2:$A$26,1))+($C168-INDEX('Shultis Faw'!$A$2:$A$26,MATCH($C168,'Shultis Faw'!$A$2:$A$26,1)))*(INDEX('Shultis Faw'!$D$2:$D$26,MATCH($C168,'Shultis Faw'!$A$2:$A$26,1)+1)-INDEX('Shultis Faw'!$D$2:$D$26,MATCH($C168,'Shultis Faw'!$A$2:$A$26,1)))/(INDEX('Shultis Faw'!$A$2:$A$26,MATCH($C168,'Shultis Faw'!$A$2:$A$26,1)+1)-INDEX('Shultis Faw'!$A$2:$A$26,MATCH($C168,'Shultis Faw'!$A$2:$A$26,1))),$C168*'Shultis Faw'!$D$2/'Shultis Faw'!$A$2)</f>
        <v>1.7035079</v>
      </c>
      <c r="K168" s="83">
        <f>_xlfn.IFNA(INDEX('Shultis Faw'!$B$2:$B$26,MATCH($C168,'Shultis Faw'!$A$2:$A$26,1))+($C168-INDEX('Shultis Faw'!$A$2:$A$26,MATCH($C168,'Shultis Faw'!$A$2:$A$26,1)))*(INDEX('Shultis Faw'!$B$2:$B$26,MATCH($C168,'Shultis Faw'!$A$2:$A$26,1)+1)-INDEX('Shultis Faw'!$B$2:$B$26,MATCH($C168,'Shultis Faw'!$A$2:$A$26,1)))/(INDEX('Shultis Faw'!$A$2:$A$26,MATCH($C168,'Shultis Faw'!$A$2:$A$26,1)+1)-INDEX('Shultis Faw'!$A$2:$A$26,MATCH($C168,'Shultis Faw'!$A$2:$A$26,1))),$C168*'Shultis Faw'!$B$2/'Shultis Faw'!$A$2)</f>
        <v>-0.12709869999999998</v>
      </c>
      <c r="L168" s="83">
        <f>_xlfn.IFNA(INDEX('Shultis Faw'!$E$2:$E$26,MATCH($C168,'Shultis Faw'!$A$2:$A$26,1))+($C168-INDEX('Shultis Faw'!$A$2:$A$26,MATCH($C168,'Shultis Faw'!$A$2:$A$26,1)))*(INDEX('Shultis Faw'!$E$2:$E$26,MATCH($C168,'Shultis Faw'!$A$2:$A$26,1)+1)-INDEX('Shultis Faw'!$E$2:$E$26,MATCH($C168,'Shultis Faw'!$A$2:$A$26,1)))/(INDEX('Shultis Faw'!$A$2:$A$26,MATCH($C168,'Shultis Faw'!$A$2:$A$26,1)+1)-INDEX('Shultis Faw'!$A$2:$A$26,MATCH($C168,'Shultis Faw'!$A$2:$A$26,1))),$C168*'Shultis Faw'!$E$2/'Shultis Faw'!$A$2)</f>
        <v>5.1511309999999998E-2</v>
      </c>
      <c r="M168" s="83">
        <f>_xlfn.IFNA(INDEX('Shultis Faw'!$F$2:$F$26,MATCH($C168,'Shultis Faw'!$A$2:$A$26,1))+($C168-INDEX('Shultis Faw'!$A$2:$A$26,MATCH($C168,'Shultis Faw'!$A$2:$A$26,1)))*(INDEX('Shultis Faw'!$F$2:$F$26,MATCH($C168,'Shultis Faw'!$A$2:$A$26,1)+1)-INDEX('Shultis Faw'!$F$2:$F$26,MATCH($C168,'Shultis Faw'!$A$2:$A$26,1)))/(INDEX('Shultis Faw'!$A$2:$A$26,MATCH($C168,'Shultis Faw'!$A$2:$A$26,1)+1)-INDEX('Shultis Faw'!$A$2:$A$26,MATCH($C168,'Shultis Faw'!$A$2:$A$26,1))),$C168*'Shultis Faw'!$F$2/'Shultis Faw'!$A$2)</f>
        <v>14.25817</v>
      </c>
      <c r="N168" s="83">
        <f>J168*(H168*'Externe blootstelling'!$D$23/2)^K168+L168*(TANH(((H168*'Externe blootstelling'!$D$23)/(2*M168))-2)-TANH(-2))/(1-TANH(-2))</f>
        <v>1.6368631502859265</v>
      </c>
      <c r="O168" s="83">
        <f>IF(N168=1,1+(I168-1)*H168*'Externe blootstelling'!$D$23/2,1+(I168-1)*(N168^(H168*'Externe blootstelling'!$D$23/2)-1)/(N168-1))</f>
        <v>3.1376806689413121</v>
      </c>
      <c r="P168" s="67">
        <f>G168*EXP(-H168*'Externe blootstelling'!$D$23/2)*O168</f>
        <v>1.0660654393280655E-4</v>
      </c>
      <c r="Q168" s="68"/>
    </row>
    <row r="169" spans="1:17" x14ac:dyDescent="0.2">
      <c r="A169" s="217"/>
      <c r="B169" s="64" t="s">
        <v>104</v>
      </c>
      <c r="C169" s="66">
        <v>0.58626500000000004</v>
      </c>
      <c r="D169" s="66">
        <f t="shared" si="12"/>
        <v>9.3802399999999999E-14</v>
      </c>
      <c r="E169" s="66">
        <v>4.62E-3</v>
      </c>
      <c r="F169" s="66">
        <f>_xlfn.IFNA(INDEX('hp (pSv cm2)'!$B$2:$B$52,MATCH($C169,'hp (pSv cm2)'!$A$2:$A$52,1))+($C169-INDEX('hp (pSv cm2)'!$A$2:$A$52,MATCH($C169,'hp (pSv cm2)'!$A$2:$A$52,1)))*(INDEX('hp (pSv cm2)'!$B$2:$B$52,MATCH($C169,'hp (pSv cm2)'!$A$2:$A$52,1)+1)-INDEX('hp (pSv cm2)'!$B$2:$B$52,MATCH($C169,'hp (pSv cm2)'!$A$2:$A$52,1)))/(INDEX('hp (pSv cm2)'!$A$2:$A$52,MATCH($C169,'hp (pSv cm2)'!$A$2:$A$52,1)+1)-INDEX('hp (pSv cm2)'!$A$2:$A$52,MATCH($C169,'hp (pSv cm2)'!$A$2:$A$52,1))),$C169*'hp (pSv cm2)'!$B$2/'hp (pSv cm2)'!$A$2)</f>
        <v>2.8495660000000003</v>
      </c>
      <c r="G169" s="67">
        <f t="shared" si="13"/>
        <v>1.3164994920000001E-2</v>
      </c>
      <c r="H169" s="83">
        <f>_xlfn.IFNA(0.997*(INDEX('Mass attenuation coefficients'!$B$2:$B$37,MATCH($C169,'Mass attenuation coefficients'!$A$2:$A$37,1))+($C169-INDEX('Mass attenuation coefficients'!$A$2:$A$37,MATCH($C169,'Mass attenuation coefficients'!$A$2:$A$37,1)))*(INDEX('Mass attenuation coefficients'!$B$2:$B$37,MATCH($C169,'Mass attenuation coefficients'!$A$2:$A$37,1)+1)-INDEX('Mass attenuation coefficients'!$B$2:$B$37,MATCH($C169,'Mass attenuation coefficients'!$A$2:$A$37,1)))/(INDEX('Mass attenuation coefficients'!$A$2:$A$37,MATCH($C169,'Mass attenuation coefficients'!$A$2:$A$37,1)+1)-INDEX('Mass attenuation coefficients'!$A$2:$A$37,MATCH($C169,'Mass attenuation coefficients'!$A$2:$A$37,1)))),0.997*$C169*'Mass attenuation coefficients'!$B$2/'Mass attenuation coefficients'!$A$2)</f>
        <v>9.0292336414499991E-2</v>
      </c>
      <c r="I169" s="83">
        <f>_xlfn.IFNA(INDEX('Shultis Faw'!$C$2:$C$26,MATCH($C169,'Shultis Faw'!$A$2:$A$26,1))+($C169-INDEX('Shultis Faw'!$A$2:$A$26,MATCH($C169,'Shultis Faw'!$A$2:$A$26,1)))*(INDEX('Shultis Faw'!$C$2:$C$26,MATCH($C169,'Shultis Faw'!$A$2:$A$26,1)+1)-INDEX('Shultis Faw'!$C$2:$C$26,MATCH($C169,'Shultis Faw'!$A$2:$A$26,1)))/(INDEX('Shultis Faw'!$A$2:$A$26,MATCH($C169,'Shultis Faw'!$A$2:$A$26,1)+1)-INDEX('Shultis Faw'!$A$2:$A$26,MATCH($C169,'Shultis Faw'!$A$2:$A$26,1))),$C169*'Shultis Faw'!$C$2/'Shultis Faw'!$A$2)</f>
        <v>2.3938940499999997</v>
      </c>
      <c r="J169" s="83">
        <f>_xlfn.IFNA(INDEX('Shultis Faw'!$D$2:$D$26,MATCH($C169,'Shultis Faw'!$A$2:$A$26,1))+($C169-INDEX('Shultis Faw'!$A$2:$A$26,MATCH($C169,'Shultis Faw'!$A$2:$A$26,1)))*(INDEX('Shultis Faw'!$D$2:$D$26,MATCH($C169,'Shultis Faw'!$A$2:$A$26,1)+1)-INDEX('Shultis Faw'!$D$2:$D$26,MATCH($C169,'Shultis Faw'!$A$2:$A$26,1)))/(INDEX('Shultis Faw'!$A$2:$A$26,MATCH($C169,'Shultis Faw'!$A$2:$A$26,1)+1)-INDEX('Shultis Faw'!$A$2:$A$26,MATCH($C169,'Shultis Faw'!$A$2:$A$26,1))),$C169*'Shultis Faw'!$D$2/'Shultis Faw'!$A$2)</f>
        <v>1.69094945</v>
      </c>
      <c r="K169" s="83">
        <f>_xlfn.IFNA(INDEX('Shultis Faw'!$B$2:$B$26,MATCH($C169,'Shultis Faw'!$A$2:$A$26,1))+($C169-INDEX('Shultis Faw'!$A$2:$A$26,MATCH($C169,'Shultis Faw'!$A$2:$A$26,1)))*(INDEX('Shultis Faw'!$B$2:$B$26,MATCH($C169,'Shultis Faw'!$A$2:$A$26,1)+1)-INDEX('Shultis Faw'!$B$2:$B$26,MATCH($C169,'Shultis Faw'!$A$2:$A$26,1)))/(INDEX('Shultis Faw'!$A$2:$A$26,MATCH($C169,'Shultis Faw'!$A$2:$A$26,1)+1)-INDEX('Shultis Faw'!$A$2:$A$26,MATCH($C169,'Shultis Faw'!$A$2:$A$26,1))),$C169*'Shultis Faw'!$B$2/'Shultis Faw'!$A$2)</f>
        <v>-0.12551085000000001</v>
      </c>
      <c r="L169" s="83">
        <f>_xlfn.IFNA(INDEX('Shultis Faw'!$E$2:$E$26,MATCH($C169,'Shultis Faw'!$A$2:$A$26,1))+($C169-INDEX('Shultis Faw'!$A$2:$A$26,MATCH($C169,'Shultis Faw'!$A$2:$A$26,1)))*(INDEX('Shultis Faw'!$E$2:$E$26,MATCH($C169,'Shultis Faw'!$A$2:$A$26,1)+1)-INDEX('Shultis Faw'!$E$2:$E$26,MATCH($C169,'Shultis Faw'!$A$2:$A$26,1)))/(INDEX('Shultis Faw'!$A$2:$A$26,MATCH($C169,'Shultis Faw'!$A$2:$A$26,1)+1)-INDEX('Shultis Faw'!$A$2:$A$26,MATCH($C169,'Shultis Faw'!$A$2:$A$26,1))),$C169*'Shultis Faw'!$E$2/'Shultis Faw'!$A$2)</f>
        <v>5.0890604999999998E-2</v>
      </c>
      <c r="M169" s="83">
        <f>_xlfn.IFNA(INDEX('Shultis Faw'!$F$2:$F$26,MATCH($C169,'Shultis Faw'!$A$2:$A$26,1))+($C169-INDEX('Shultis Faw'!$A$2:$A$26,MATCH($C169,'Shultis Faw'!$A$2:$A$26,1)))*(INDEX('Shultis Faw'!$F$2:$F$26,MATCH($C169,'Shultis Faw'!$A$2:$A$26,1)+1)-INDEX('Shultis Faw'!$F$2:$F$26,MATCH($C169,'Shultis Faw'!$A$2:$A$26,1)))/(INDEX('Shultis Faw'!$A$2:$A$26,MATCH($C169,'Shultis Faw'!$A$2:$A$26,1)+1)-INDEX('Shultis Faw'!$A$2:$A$26,MATCH($C169,'Shultis Faw'!$A$2:$A$26,1))),$C169*'Shultis Faw'!$F$2/'Shultis Faw'!$A$2)</f>
        <v>14.243735000000001</v>
      </c>
      <c r="N169" s="83">
        <f>J169*(H169*'Externe blootstelling'!$D$23/2)^K169+L169*(TANH(((H169*'Externe blootstelling'!$D$23)/(2*M169))-2)-TANH(-2))/(1-TANH(-2))</f>
        <v>1.6279704319847175</v>
      </c>
      <c r="O169" s="83">
        <f>IF(N169=1,1+(I169-1)*H169*'Externe blootstelling'!$D$23/2,1+(I169-1)*(N169^(H169*'Externe blootstelling'!$D$23/2)-1)/(N169-1))</f>
        <v>3.0751041084198087</v>
      </c>
      <c r="P169" s="67">
        <f>G169*EXP(-H169*'Externe blootstelling'!$D$23/2)*O169</f>
        <v>1.044909234751178E-2</v>
      </c>
      <c r="Q169" s="68"/>
    </row>
    <row r="170" spans="1:17" x14ac:dyDescent="0.2">
      <c r="A170" s="217"/>
      <c r="B170" s="64" t="s">
        <v>104</v>
      </c>
      <c r="C170" s="66">
        <v>0.59560999999999997</v>
      </c>
      <c r="D170" s="66">
        <f t="shared" si="12"/>
        <v>9.5297599999999998E-14</v>
      </c>
      <c r="E170" s="66">
        <v>3.1000000000000001E-5</v>
      </c>
      <c r="F170" s="66">
        <f>_xlfn.IFNA(INDEX('hp (pSv cm2)'!$B$2:$B$52,MATCH($C170,'hp (pSv cm2)'!$A$2:$A$52,1))+($C170-INDEX('hp (pSv cm2)'!$A$2:$A$52,MATCH($C170,'hp (pSv cm2)'!$A$2:$A$52,1)))*(INDEX('hp (pSv cm2)'!$B$2:$B$52,MATCH($C170,'hp (pSv cm2)'!$A$2:$A$52,1)+1)-INDEX('hp (pSv cm2)'!$B$2:$B$52,MATCH($C170,'hp (pSv cm2)'!$A$2:$A$52,1)))/(INDEX('hp (pSv cm2)'!$A$2:$A$52,MATCH($C170,'hp (pSv cm2)'!$A$2:$A$52,1)+1)-INDEX('hp (pSv cm2)'!$A$2:$A$52,MATCH($C170,'hp (pSv cm2)'!$A$2:$A$52,1))),$C170*'hp (pSv cm2)'!$B$2/'hp (pSv cm2)'!$A$2)</f>
        <v>2.8906840000000003</v>
      </c>
      <c r="G170" s="67">
        <f t="shared" si="13"/>
        <v>8.9611204000000018E-5</v>
      </c>
      <c r="H170" s="83">
        <f>_xlfn.IFNA(0.997*(INDEX('Mass attenuation coefficients'!$B$2:$B$37,MATCH($C170,'Mass attenuation coefficients'!$A$2:$A$37,1))+($C170-INDEX('Mass attenuation coefficients'!$A$2:$A$37,MATCH($C170,'Mass attenuation coefficients'!$A$2:$A$37,1)))*(INDEX('Mass attenuation coefficients'!$B$2:$B$37,MATCH($C170,'Mass attenuation coefficients'!$A$2:$A$37,1)+1)-INDEX('Mass attenuation coefficients'!$B$2:$B$37,MATCH($C170,'Mass attenuation coefficients'!$A$2:$A$37,1)))/(INDEX('Mass attenuation coefficients'!$A$2:$A$37,MATCH($C170,'Mass attenuation coefficients'!$A$2:$A$37,1)+1)-INDEX('Mass attenuation coefficients'!$A$2:$A$37,MATCH($C170,'Mass attenuation coefficients'!$A$2:$A$37,1)))),0.997*$C170*'Mass attenuation coefficients'!$B$2/'Mass attenuation coefficients'!$A$2)</f>
        <v>8.9611266272999993E-2</v>
      </c>
      <c r="I170" s="83">
        <f>_xlfn.IFNA(INDEX('Shultis Faw'!$C$2:$C$26,MATCH($C170,'Shultis Faw'!$A$2:$A$26,1))+($C170-INDEX('Shultis Faw'!$A$2:$A$26,MATCH($C170,'Shultis Faw'!$A$2:$A$26,1)))*(INDEX('Shultis Faw'!$C$2:$C$26,MATCH($C170,'Shultis Faw'!$A$2:$A$26,1)+1)-INDEX('Shultis Faw'!$C$2:$C$26,MATCH($C170,'Shultis Faw'!$A$2:$A$26,1)))/(INDEX('Shultis Faw'!$A$2:$A$26,MATCH($C170,'Shultis Faw'!$A$2:$A$26,1)+1)-INDEX('Shultis Faw'!$A$2:$A$26,MATCH($C170,'Shultis Faw'!$A$2:$A$26,1))),$C170*'Shultis Faw'!$C$2/'Shultis Faw'!$A$2)</f>
        <v>2.3823996999999997</v>
      </c>
      <c r="J170" s="83">
        <f>_xlfn.IFNA(INDEX('Shultis Faw'!$D$2:$D$26,MATCH($C170,'Shultis Faw'!$A$2:$A$26,1))+($C170-INDEX('Shultis Faw'!$A$2:$A$26,MATCH($C170,'Shultis Faw'!$A$2:$A$26,1)))*(INDEX('Shultis Faw'!$D$2:$D$26,MATCH($C170,'Shultis Faw'!$A$2:$A$26,1)+1)-INDEX('Shultis Faw'!$D$2:$D$26,MATCH($C170,'Shultis Faw'!$A$2:$A$26,1)))/(INDEX('Shultis Faw'!$A$2:$A$26,MATCH($C170,'Shultis Faw'!$A$2:$A$26,1)+1)-INDEX('Shultis Faw'!$A$2:$A$26,MATCH($C170,'Shultis Faw'!$A$2:$A$26,1))),$C170*'Shultis Faw'!$D$2/'Shultis Faw'!$A$2)</f>
        <v>1.6828193</v>
      </c>
      <c r="K170" s="83">
        <f>_xlfn.IFNA(INDEX('Shultis Faw'!$B$2:$B$26,MATCH($C170,'Shultis Faw'!$A$2:$A$26,1))+($C170-INDEX('Shultis Faw'!$A$2:$A$26,MATCH($C170,'Shultis Faw'!$A$2:$A$26,1)))*(INDEX('Shultis Faw'!$B$2:$B$26,MATCH($C170,'Shultis Faw'!$A$2:$A$26,1)+1)-INDEX('Shultis Faw'!$B$2:$B$26,MATCH($C170,'Shultis Faw'!$A$2:$A$26,1)))/(INDEX('Shultis Faw'!$A$2:$A$26,MATCH($C170,'Shultis Faw'!$A$2:$A$26,1)+1)-INDEX('Shultis Faw'!$A$2:$A$26,MATCH($C170,'Shultis Faw'!$A$2:$A$26,1))),$C170*'Shultis Faw'!$B$2/'Shultis Faw'!$A$2)</f>
        <v>-0.12448290000000001</v>
      </c>
      <c r="L170" s="83">
        <f>_xlfn.IFNA(INDEX('Shultis Faw'!$E$2:$E$26,MATCH($C170,'Shultis Faw'!$A$2:$A$26,1))+($C170-INDEX('Shultis Faw'!$A$2:$A$26,MATCH($C170,'Shultis Faw'!$A$2:$A$26,1)))*(INDEX('Shultis Faw'!$E$2:$E$26,MATCH($C170,'Shultis Faw'!$A$2:$A$26,1)+1)-INDEX('Shultis Faw'!$E$2:$E$26,MATCH($C170,'Shultis Faw'!$A$2:$A$26,1)))/(INDEX('Shultis Faw'!$A$2:$A$26,MATCH($C170,'Shultis Faw'!$A$2:$A$26,1)+1)-INDEX('Shultis Faw'!$A$2:$A$26,MATCH($C170,'Shultis Faw'!$A$2:$A$26,1))),$C170*'Shultis Faw'!$E$2/'Shultis Faw'!$A$2)</f>
        <v>5.0488769999999995E-2</v>
      </c>
      <c r="M170" s="83">
        <f>_xlfn.IFNA(INDEX('Shultis Faw'!$F$2:$F$26,MATCH($C170,'Shultis Faw'!$A$2:$A$26,1))+($C170-INDEX('Shultis Faw'!$A$2:$A$26,MATCH($C170,'Shultis Faw'!$A$2:$A$26,1)))*(INDEX('Shultis Faw'!$F$2:$F$26,MATCH($C170,'Shultis Faw'!$A$2:$A$26,1)+1)-INDEX('Shultis Faw'!$F$2:$F$26,MATCH($C170,'Shultis Faw'!$A$2:$A$26,1)))/(INDEX('Shultis Faw'!$A$2:$A$26,MATCH($C170,'Shultis Faw'!$A$2:$A$26,1)+1)-INDEX('Shultis Faw'!$A$2:$A$26,MATCH($C170,'Shultis Faw'!$A$2:$A$26,1))),$C170*'Shultis Faw'!$F$2/'Shultis Faw'!$A$2)</f>
        <v>14.234390000000001</v>
      </c>
      <c r="N170" s="83">
        <f>J170*(H170*'Externe blootstelling'!$D$23/2)^K170+L170*(TANH(((H170*'Externe blootstelling'!$D$23)/(2*M170))-2)-TANH(-2))/(1-TANH(-2))</f>
        <v>1.6221743377825282</v>
      </c>
      <c r="O170" s="83">
        <f>IF(N170=1,1+(I170-1)*H170*'Externe blootstelling'!$D$23/2,1+(I170-1)*(N170^(H170*'Externe blootstelling'!$D$23/2)-1)/(N170-1))</f>
        <v>3.0353550478881934</v>
      </c>
      <c r="P170" s="67">
        <f>G170*EXP(-H170*'Externe blootstelling'!$D$23/2)*O170</f>
        <v>7.0926190426741899E-5</v>
      </c>
      <c r="Q170" s="68"/>
    </row>
    <row r="171" spans="1:17" x14ac:dyDescent="0.2">
      <c r="A171" s="217"/>
      <c r="B171" s="64" t="s">
        <v>104</v>
      </c>
      <c r="C171" s="66">
        <v>0.61604999999999999</v>
      </c>
      <c r="D171" s="66">
        <f t="shared" si="12"/>
        <v>9.8567999999999997E-14</v>
      </c>
      <c r="E171" s="66">
        <v>9.2E-5</v>
      </c>
      <c r="F171" s="66">
        <f>_xlfn.IFNA(INDEX('hp (pSv cm2)'!$B$2:$B$52,MATCH($C171,'hp (pSv cm2)'!$A$2:$A$52,1))+($C171-INDEX('hp (pSv cm2)'!$A$2:$A$52,MATCH($C171,'hp (pSv cm2)'!$A$2:$A$52,1)))*(INDEX('hp (pSv cm2)'!$B$2:$B$52,MATCH($C171,'hp (pSv cm2)'!$A$2:$A$52,1)+1)-INDEX('hp (pSv cm2)'!$B$2:$B$52,MATCH($C171,'hp (pSv cm2)'!$A$2:$A$52,1)))/(INDEX('hp (pSv cm2)'!$A$2:$A$52,MATCH($C171,'hp (pSv cm2)'!$A$2:$A$52,1)+1)-INDEX('hp (pSv cm2)'!$A$2:$A$52,MATCH($C171,'hp (pSv cm2)'!$A$2:$A$52,1))),$C171*'hp (pSv cm2)'!$B$2/'hp (pSv cm2)'!$A$2)</f>
        <v>2.9758050000000003</v>
      </c>
      <c r="G171" s="67">
        <f t="shared" si="13"/>
        <v>2.7377406000000004E-4</v>
      </c>
      <c r="H171" s="83">
        <f>_xlfn.IFNA(0.997*(INDEX('Mass attenuation coefficients'!$B$2:$B$37,MATCH($C171,'Mass attenuation coefficients'!$A$2:$A$37,1))+($C171-INDEX('Mass attenuation coefficients'!$A$2:$A$37,MATCH($C171,'Mass attenuation coefficients'!$A$2:$A$37,1)))*(INDEX('Mass attenuation coefficients'!$B$2:$B$37,MATCH($C171,'Mass attenuation coefficients'!$A$2:$A$37,1)+1)-INDEX('Mass attenuation coefficients'!$B$2:$B$37,MATCH($C171,'Mass attenuation coefficients'!$A$2:$A$37,1)))/(INDEX('Mass attenuation coefficients'!$A$2:$A$37,MATCH($C171,'Mass attenuation coefficients'!$A$2:$A$37,1)+1)-INDEX('Mass attenuation coefficients'!$A$2:$A$37,MATCH($C171,'Mass attenuation coefficients'!$A$2:$A$37,1)))),0.997*$C171*'Mass attenuation coefficients'!$B$2/'Mass attenuation coefficients'!$A$2)</f>
        <v>8.8418419082500005E-2</v>
      </c>
      <c r="I171" s="83">
        <f>_xlfn.IFNA(INDEX('Shultis Faw'!$C$2:$C$26,MATCH($C171,'Shultis Faw'!$A$2:$A$26,1))+($C171-INDEX('Shultis Faw'!$A$2:$A$26,MATCH($C171,'Shultis Faw'!$A$2:$A$26,1)))*(INDEX('Shultis Faw'!$C$2:$C$26,MATCH($C171,'Shultis Faw'!$A$2:$A$26,1)+1)-INDEX('Shultis Faw'!$C$2:$C$26,MATCH($C171,'Shultis Faw'!$A$2:$A$26,1)))/(INDEX('Shultis Faw'!$A$2:$A$26,MATCH($C171,'Shultis Faw'!$A$2:$A$26,1)+1)-INDEX('Shultis Faw'!$A$2:$A$26,MATCH($C171,'Shultis Faw'!$A$2:$A$26,1))),$C171*'Shultis Faw'!$C$2/'Shultis Faw'!$A$2)</f>
        <v>2.3637587499999997</v>
      </c>
      <c r="J171" s="83">
        <f>_xlfn.IFNA(INDEX('Shultis Faw'!$D$2:$D$26,MATCH($C171,'Shultis Faw'!$A$2:$A$26,1))+($C171-INDEX('Shultis Faw'!$A$2:$A$26,MATCH($C171,'Shultis Faw'!$A$2:$A$26,1)))*(INDEX('Shultis Faw'!$D$2:$D$26,MATCH($C171,'Shultis Faw'!$A$2:$A$26,1)+1)-INDEX('Shultis Faw'!$D$2:$D$26,MATCH($C171,'Shultis Faw'!$A$2:$A$26,1)))/(INDEX('Shultis Faw'!$A$2:$A$26,MATCH($C171,'Shultis Faw'!$A$2:$A$26,1)+1)-INDEX('Shultis Faw'!$A$2:$A$26,MATCH($C171,'Shultis Faw'!$A$2:$A$26,1))),$C171*'Shultis Faw'!$D$2/'Shultis Faw'!$A$2)</f>
        <v>1.6681662500000001</v>
      </c>
      <c r="K171" s="83">
        <f>_xlfn.IFNA(INDEX('Shultis Faw'!$B$2:$B$26,MATCH($C171,'Shultis Faw'!$A$2:$A$26,1))+($C171-INDEX('Shultis Faw'!$A$2:$A$26,MATCH($C171,'Shultis Faw'!$A$2:$A$26,1)))*(INDEX('Shultis Faw'!$B$2:$B$26,MATCH($C171,'Shultis Faw'!$A$2:$A$26,1)+1)-INDEX('Shultis Faw'!$B$2:$B$26,MATCH($C171,'Shultis Faw'!$A$2:$A$26,1)))/(INDEX('Shultis Faw'!$A$2:$A$26,MATCH($C171,'Shultis Faw'!$A$2:$A$26,1)+1)-INDEX('Shultis Faw'!$A$2:$A$26,MATCH($C171,'Shultis Faw'!$A$2:$A$26,1))),$C171*'Shultis Faw'!$B$2/'Shultis Faw'!$A$2)</f>
        <v>-0.12247524999999999</v>
      </c>
      <c r="L171" s="83">
        <f>_xlfn.IFNA(INDEX('Shultis Faw'!$E$2:$E$26,MATCH($C171,'Shultis Faw'!$A$2:$A$26,1))+($C171-INDEX('Shultis Faw'!$A$2:$A$26,MATCH($C171,'Shultis Faw'!$A$2:$A$26,1)))*(INDEX('Shultis Faw'!$E$2:$E$26,MATCH($C171,'Shultis Faw'!$A$2:$A$26,1)+1)-INDEX('Shultis Faw'!$E$2:$E$26,MATCH($C171,'Shultis Faw'!$A$2:$A$26,1)))/(INDEX('Shultis Faw'!$A$2:$A$26,MATCH($C171,'Shultis Faw'!$A$2:$A$26,1)+1)-INDEX('Shultis Faw'!$A$2:$A$26,MATCH($C171,'Shultis Faw'!$A$2:$A$26,1))),$C171*'Shultis Faw'!$E$2/'Shultis Faw'!$A$2)</f>
        <v>4.9770349999999998E-2</v>
      </c>
      <c r="M171" s="83">
        <f>_xlfn.IFNA(INDEX('Shultis Faw'!$F$2:$F$26,MATCH($C171,'Shultis Faw'!$A$2:$A$26,1))+($C171-INDEX('Shultis Faw'!$A$2:$A$26,MATCH($C171,'Shultis Faw'!$A$2:$A$26,1)))*(INDEX('Shultis Faw'!$F$2:$F$26,MATCH($C171,'Shultis Faw'!$A$2:$A$26,1)+1)-INDEX('Shultis Faw'!$F$2:$F$26,MATCH($C171,'Shultis Faw'!$A$2:$A$26,1)))/(INDEX('Shultis Faw'!$A$2:$A$26,MATCH($C171,'Shultis Faw'!$A$2:$A$26,1)+1)-INDEX('Shultis Faw'!$A$2:$A$26,MATCH($C171,'Shultis Faw'!$A$2:$A$26,1))),$C171*'Shultis Faw'!$F$2/'Shultis Faw'!$A$2)</f>
        <v>14.240432500000001</v>
      </c>
      <c r="N171" s="83">
        <f>J171*(H171*'Externe blootstelling'!$D$23/2)^K171+L171*(TANH(((H171*'Externe blootstelling'!$D$23)/(2*M171))-2)-TANH(-2))/(1-TANH(-2))</f>
        <v>1.6116432439089987</v>
      </c>
      <c r="O171" s="83">
        <f>IF(N171=1,1+(I171-1)*H171*'Externe blootstelling'!$D$23/2,1+(I171-1)*(N171^(H171*'Externe blootstelling'!$D$23/2)-1)/(N171-1))</f>
        <v>2.9692331694900771</v>
      </c>
      <c r="P171" s="67">
        <f>G171*EXP(-H171*'Externe blootstelling'!$D$23/2)*O171</f>
        <v>2.1579537243536821E-4</v>
      </c>
      <c r="Q171" s="68"/>
    </row>
    <row r="172" spans="1:17" x14ac:dyDescent="0.2">
      <c r="A172" s="217"/>
      <c r="B172" s="64" t="s">
        <v>104</v>
      </c>
      <c r="C172" s="66">
        <v>0.64437</v>
      </c>
      <c r="D172" s="66">
        <f t="shared" si="12"/>
        <v>1.0309919999999999E-13</v>
      </c>
      <c r="E172" s="66">
        <v>6.3E-5</v>
      </c>
      <c r="F172" s="66">
        <f>_xlfn.IFNA(INDEX('hp (pSv cm2)'!$B$2:$B$52,MATCH($C172,'hp (pSv cm2)'!$A$2:$A$52,1))+($C172-INDEX('hp (pSv cm2)'!$A$2:$A$52,MATCH($C172,'hp (pSv cm2)'!$A$2:$A$52,1)))*(INDEX('hp (pSv cm2)'!$B$2:$B$52,MATCH($C172,'hp (pSv cm2)'!$A$2:$A$52,1)+1)-INDEX('hp (pSv cm2)'!$B$2:$B$52,MATCH($C172,'hp (pSv cm2)'!$A$2:$A$52,1)))/(INDEX('hp (pSv cm2)'!$A$2:$A$52,MATCH($C172,'hp (pSv cm2)'!$A$2:$A$52,1)+1)-INDEX('hp (pSv cm2)'!$A$2:$A$52,MATCH($C172,'hp (pSv cm2)'!$A$2:$A$52,1))),$C172*'hp (pSv cm2)'!$B$2/'hp (pSv cm2)'!$A$2)</f>
        <v>3.091917</v>
      </c>
      <c r="G172" s="67">
        <f t="shared" si="13"/>
        <v>1.9479077100000001E-4</v>
      </c>
      <c r="H172" s="83">
        <f>_xlfn.IFNA(0.997*(INDEX('Mass attenuation coefficients'!$B$2:$B$37,MATCH($C172,'Mass attenuation coefficients'!$A$2:$A$37,1))+($C172-INDEX('Mass attenuation coefficients'!$A$2:$A$37,MATCH($C172,'Mass attenuation coefficients'!$A$2:$A$37,1)))*(INDEX('Mass attenuation coefficients'!$B$2:$B$37,MATCH($C172,'Mass attenuation coefficients'!$A$2:$A$37,1)+1)-INDEX('Mass attenuation coefficients'!$B$2:$B$37,MATCH($C172,'Mass attenuation coefficients'!$A$2:$A$37,1)))/(INDEX('Mass attenuation coefficients'!$A$2:$A$37,MATCH($C172,'Mass attenuation coefficients'!$A$2:$A$37,1)+1)-INDEX('Mass attenuation coefficients'!$A$2:$A$37,MATCH($C172,'Mass attenuation coefficients'!$A$2:$A$37,1)))),0.997*$C172*'Mass attenuation coefficients'!$B$2/'Mass attenuation coefficients'!$A$2)</f>
        <v>8.6878197650500005E-2</v>
      </c>
      <c r="I172" s="83">
        <f>_xlfn.IFNA(INDEX('Shultis Faw'!$C$2:$C$26,MATCH($C172,'Shultis Faw'!$A$2:$A$26,1))+($C172-INDEX('Shultis Faw'!$A$2:$A$26,MATCH($C172,'Shultis Faw'!$A$2:$A$26,1)))*(INDEX('Shultis Faw'!$C$2:$C$26,MATCH($C172,'Shultis Faw'!$A$2:$A$26,1)+1)-INDEX('Shultis Faw'!$C$2:$C$26,MATCH($C172,'Shultis Faw'!$A$2:$A$26,1)))/(INDEX('Shultis Faw'!$A$2:$A$26,MATCH($C172,'Shultis Faw'!$A$2:$A$26,1)+1)-INDEX('Shultis Faw'!$A$2:$A$26,MATCH($C172,'Shultis Faw'!$A$2:$A$26,1))),$C172*'Shultis Faw'!$C$2/'Shultis Faw'!$A$2)</f>
        <v>2.3403947499999997</v>
      </c>
      <c r="J172" s="83">
        <f>_xlfn.IFNA(INDEX('Shultis Faw'!$D$2:$D$26,MATCH($C172,'Shultis Faw'!$A$2:$A$26,1))+($C172-INDEX('Shultis Faw'!$A$2:$A$26,MATCH($C172,'Shultis Faw'!$A$2:$A$26,1)))*(INDEX('Shultis Faw'!$D$2:$D$26,MATCH($C172,'Shultis Faw'!$A$2:$A$26,1)+1)-INDEX('Shultis Faw'!$D$2:$D$26,MATCH($C172,'Shultis Faw'!$A$2:$A$26,1)))/(INDEX('Shultis Faw'!$A$2:$A$26,MATCH($C172,'Shultis Faw'!$A$2:$A$26,1)+1)-INDEX('Shultis Faw'!$A$2:$A$26,MATCH($C172,'Shultis Faw'!$A$2:$A$26,1))),$C172*'Shultis Faw'!$D$2/'Shultis Faw'!$A$2)</f>
        <v>1.6490502499999999</v>
      </c>
      <c r="K172" s="83">
        <f>_xlfn.IFNA(INDEX('Shultis Faw'!$B$2:$B$26,MATCH($C172,'Shultis Faw'!$A$2:$A$26,1))+($C172-INDEX('Shultis Faw'!$A$2:$A$26,MATCH($C172,'Shultis Faw'!$A$2:$A$26,1)))*(INDEX('Shultis Faw'!$B$2:$B$26,MATCH($C172,'Shultis Faw'!$A$2:$A$26,1)+1)-INDEX('Shultis Faw'!$B$2:$B$26,MATCH($C172,'Shultis Faw'!$A$2:$A$26,1)))/(INDEX('Shultis Faw'!$A$2:$A$26,MATCH($C172,'Shultis Faw'!$A$2:$A$26,1)+1)-INDEX('Shultis Faw'!$A$2:$A$26,MATCH($C172,'Shultis Faw'!$A$2:$A$26,1))),$C172*'Shultis Faw'!$B$2/'Shultis Faw'!$A$2)</f>
        <v>-0.11978485</v>
      </c>
      <c r="L172" s="83">
        <f>_xlfn.IFNA(INDEX('Shultis Faw'!$E$2:$E$26,MATCH($C172,'Shultis Faw'!$A$2:$A$26,1))+($C172-INDEX('Shultis Faw'!$A$2:$A$26,MATCH($C172,'Shultis Faw'!$A$2:$A$26,1)))*(INDEX('Shultis Faw'!$E$2:$E$26,MATCH($C172,'Shultis Faw'!$A$2:$A$26,1)+1)-INDEX('Shultis Faw'!$E$2:$E$26,MATCH($C172,'Shultis Faw'!$A$2:$A$26,1)))/(INDEX('Shultis Faw'!$A$2:$A$26,MATCH($C172,'Shultis Faw'!$A$2:$A$26,1)+1)-INDEX('Shultis Faw'!$A$2:$A$26,MATCH($C172,'Shultis Faw'!$A$2:$A$26,1))),$C172*'Shultis Faw'!$E$2/'Shultis Faw'!$A$2)</f>
        <v>4.8835789999999997E-2</v>
      </c>
      <c r="M172" s="83">
        <f>_xlfn.IFNA(INDEX('Shultis Faw'!$F$2:$F$26,MATCH($C172,'Shultis Faw'!$A$2:$A$26,1))+($C172-INDEX('Shultis Faw'!$A$2:$A$26,MATCH($C172,'Shultis Faw'!$A$2:$A$26,1)))*(INDEX('Shultis Faw'!$F$2:$F$26,MATCH($C172,'Shultis Faw'!$A$2:$A$26,1)+1)-INDEX('Shultis Faw'!$F$2:$F$26,MATCH($C172,'Shultis Faw'!$A$2:$A$26,1)))/(INDEX('Shultis Faw'!$A$2:$A$26,MATCH($C172,'Shultis Faw'!$A$2:$A$26,1)+1)-INDEX('Shultis Faw'!$A$2:$A$26,MATCH($C172,'Shultis Faw'!$A$2:$A$26,1))),$C172*'Shultis Faw'!$F$2/'Shultis Faw'!$A$2)</f>
        <v>14.2588405</v>
      </c>
      <c r="N172" s="83">
        <f>J172*(H172*'Externe blootstelling'!$D$23/2)^K172+L172*(TANH(((H172*'Externe blootstelling'!$D$23)/(2*M172))-2)-TANH(-2))/(1-TANH(-2))</f>
        <v>1.5977399725731725</v>
      </c>
      <c r="O172" s="83">
        <f>IF(N172=1,1+(I172-1)*H172*'Externe blootstelling'!$D$23/2,1+(I172-1)*(N172^(H172*'Externe blootstelling'!$D$23/2)-1)/(N172-1))</f>
        <v>2.8873150359547157</v>
      </c>
      <c r="P172" s="67">
        <f>G172*EXP(-H172*'Externe blootstelling'!$D$23/2)*O172</f>
        <v>1.527923890356686E-4</v>
      </c>
      <c r="Q172" s="68"/>
    </row>
    <row r="173" spans="1:17" x14ac:dyDescent="0.2">
      <c r="A173" s="217"/>
      <c r="B173" s="64" t="s">
        <v>104</v>
      </c>
      <c r="C173" s="66">
        <v>0.65648899999999999</v>
      </c>
      <c r="D173" s="66">
        <f t="shared" si="12"/>
        <v>1.0503823999999999E-13</v>
      </c>
      <c r="E173" s="66">
        <v>1.4369999999999999E-3</v>
      </c>
      <c r="F173" s="66">
        <f>_xlfn.IFNA(INDEX('hp (pSv cm2)'!$B$2:$B$52,MATCH($C173,'hp (pSv cm2)'!$A$2:$A$52,1))+($C173-INDEX('hp (pSv cm2)'!$A$2:$A$52,MATCH($C173,'hp (pSv cm2)'!$A$2:$A$52,1)))*(INDEX('hp (pSv cm2)'!$B$2:$B$52,MATCH($C173,'hp (pSv cm2)'!$A$2:$A$52,1)+1)-INDEX('hp (pSv cm2)'!$B$2:$B$52,MATCH($C173,'hp (pSv cm2)'!$A$2:$A$52,1)))/(INDEX('hp (pSv cm2)'!$A$2:$A$52,MATCH($C173,'hp (pSv cm2)'!$A$2:$A$52,1)+1)-INDEX('hp (pSv cm2)'!$A$2:$A$52,MATCH($C173,'hp (pSv cm2)'!$A$2:$A$52,1))),$C173*'hp (pSv cm2)'!$B$2/'hp (pSv cm2)'!$A$2)</f>
        <v>3.1416048999999999</v>
      </c>
      <c r="G173" s="67">
        <f t="shared" si="13"/>
        <v>4.5144862412999998E-3</v>
      </c>
      <c r="H173" s="83">
        <f>_xlfn.IFNA(0.997*(INDEX('Mass attenuation coefficients'!$B$2:$B$37,MATCH($C173,'Mass attenuation coefficients'!$A$2:$A$37,1))+($C173-INDEX('Mass attenuation coefficients'!$A$2:$A$37,MATCH($C173,'Mass attenuation coefficients'!$A$2:$A$37,1)))*(INDEX('Mass attenuation coefficients'!$B$2:$B$37,MATCH($C173,'Mass attenuation coefficients'!$A$2:$A$37,1)+1)-INDEX('Mass attenuation coefficients'!$B$2:$B$37,MATCH($C173,'Mass attenuation coefficients'!$A$2:$A$37,1)))/(INDEX('Mass attenuation coefficients'!$A$2:$A$37,MATCH($C173,'Mass attenuation coefficients'!$A$2:$A$37,1)+1)-INDEX('Mass attenuation coefficients'!$A$2:$A$37,MATCH($C173,'Mass attenuation coefficients'!$A$2:$A$37,1)))),0.997*$C173*'Mass attenuation coefficients'!$B$2/'Mass attenuation coefficients'!$A$2)</f>
        <v>8.6219089474850005E-2</v>
      </c>
      <c r="I173" s="83">
        <f>_xlfn.IFNA(INDEX('Shultis Faw'!$C$2:$C$26,MATCH($C173,'Shultis Faw'!$A$2:$A$26,1))+($C173-INDEX('Shultis Faw'!$A$2:$A$26,MATCH($C173,'Shultis Faw'!$A$2:$A$26,1)))*(INDEX('Shultis Faw'!$C$2:$C$26,MATCH($C173,'Shultis Faw'!$A$2:$A$26,1)+1)-INDEX('Shultis Faw'!$C$2:$C$26,MATCH($C173,'Shultis Faw'!$A$2:$A$26,1)))/(INDEX('Shultis Faw'!$A$2:$A$26,MATCH($C173,'Shultis Faw'!$A$2:$A$26,1)+1)-INDEX('Shultis Faw'!$A$2:$A$26,MATCH($C173,'Shultis Faw'!$A$2:$A$26,1))),$C173*'Shultis Faw'!$C$2/'Shultis Faw'!$A$2)</f>
        <v>2.330396575</v>
      </c>
      <c r="J173" s="83">
        <f>_xlfn.IFNA(INDEX('Shultis Faw'!$D$2:$D$26,MATCH($C173,'Shultis Faw'!$A$2:$A$26,1))+($C173-INDEX('Shultis Faw'!$A$2:$A$26,MATCH($C173,'Shultis Faw'!$A$2:$A$26,1)))*(INDEX('Shultis Faw'!$D$2:$D$26,MATCH($C173,'Shultis Faw'!$A$2:$A$26,1)+1)-INDEX('Shultis Faw'!$D$2:$D$26,MATCH($C173,'Shultis Faw'!$A$2:$A$26,1)))/(INDEX('Shultis Faw'!$A$2:$A$26,MATCH($C173,'Shultis Faw'!$A$2:$A$26,1)+1)-INDEX('Shultis Faw'!$A$2:$A$26,MATCH($C173,'Shultis Faw'!$A$2:$A$26,1))),$C173*'Shultis Faw'!$D$2/'Shultis Faw'!$A$2)</f>
        <v>1.6408699250000001</v>
      </c>
      <c r="K173" s="83">
        <f>_xlfn.IFNA(INDEX('Shultis Faw'!$B$2:$B$26,MATCH($C173,'Shultis Faw'!$A$2:$A$26,1))+($C173-INDEX('Shultis Faw'!$A$2:$A$26,MATCH($C173,'Shultis Faw'!$A$2:$A$26,1)))*(INDEX('Shultis Faw'!$B$2:$B$26,MATCH($C173,'Shultis Faw'!$A$2:$A$26,1)+1)-INDEX('Shultis Faw'!$B$2:$B$26,MATCH($C173,'Shultis Faw'!$A$2:$A$26,1)))/(INDEX('Shultis Faw'!$A$2:$A$26,MATCH($C173,'Shultis Faw'!$A$2:$A$26,1)+1)-INDEX('Shultis Faw'!$A$2:$A$26,MATCH($C173,'Shultis Faw'!$A$2:$A$26,1))),$C173*'Shultis Faw'!$B$2/'Shultis Faw'!$A$2)</f>
        <v>-0.11863354499999999</v>
      </c>
      <c r="L173" s="83">
        <f>_xlfn.IFNA(INDEX('Shultis Faw'!$E$2:$E$26,MATCH($C173,'Shultis Faw'!$A$2:$A$26,1))+($C173-INDEX('Shultis Faw'!$A$2:$A$26,MATCH($C173,'Shultis Faw'!$A$2:$A$26,1)))*(INDEX('Shultis Faw'!$E$2:$E$26,MATCH($C173,'Shultis Faw'!$A$2:$A$26,1)+1)-INDEX('Shultis Faw'!$E$2:$E$26,MATCH($C173,'Shultis Faw'!$A$2:$A$26,1)))/(INDEX('Shultis Faw'!$A$2:$A$26,MATCH($C173,'Shultis Faw'!$A$2:$A$26,1)+1)-INDEX('Shultis Faw'!$A$2:$A$26,MATCH($C173,'Shultis Faw'!$A$2:$A$26,1))),$C173*'Shultis Faw'!$E$2/'Shultis Faw'!$A$2)</f>
        <v>4.8435863000000003E-2</v>
      </c>
      <c r="M173" s="83">
        <f>_xlfn.IFNA(INDEX('Shultis Faw'!$F$2:$F$26,MATCH($C173,'Shultis Faw'!$A$2:$A$26,1))+($C173-INDEX('Shultis Faw'!$A$2:$A$26,MATCH($C173,'Shultis Faw'!$A$2:$A$26,1)))*(INDEX('Shultis Faw'!$F$2:$F$26,MATCH($C173,'Shultis Faw'!$A$2:$A$26,1)+1)-INDEX('Shultis Faw'!$F$2:$F$26,MATCH($C173,'Shultis Faw'!$A$2:$A$26,1)))/(INDEX('Shultis Faw'!$A$2:$A$26,MATCH($C173,'Shultis Faw'!$A$2:$A$26,1)+1)-INDEX('Shultis Faw'!$A$2:$A$26,MATCH($C173,'Shultis Faw'!$A$2:$A$26,1))),$C173*'Shultis Faw'!$F$2/'Shultis Faw'!$A$2)</f>
        <v>14.266717850000001</v>
      </c>
      <c r="N173" s="83">
        <f>J173*(H173*'Externe blootstelling'!$D$23/2)^K173+L173*(TANH(((H173*'Externe blootstelling'!$D$23)/(2*M173))-2)-TANH(-2))/(1-TANH(-2))</f>
        <v>1.5917340263335371</v>
      </c>
      <c r="O173" s="83">
        <f>IF(N173=1,1+(I173-1)*H173*'Externe blootstelling'!$D$23/2,1+(I173-1)*(N173^(H173*'Externe blootstelling'!$D$23/2)-1)/(N173-1))</f>
        <v>2.8530871220614937</v>
      </c>
      <c r="P173" s="67">
        <f>G173*EXP(-H173*'Externe blootstelling'!$D$23/2)*O173</f>
        <v>3.533916188074397E-3</v>
      </c>
      <c r="Q173" s="68"/>
    </row>
    <row r="174" spans="1:17" x14ac:dyDescent="0.2">
      <c r="A174" s="217"/>
      <c r="B174" s="64" t="s">
        <v>104</v>
      </c>
      <c r="C174" s="66">
        <v>0.66477999999999993</v>
      </c>
      <c r="D174" s="66">
        <f t="shared" si="12"/>
        <v>1.0636479999999997E-13</v>
      </c>
      <c r="E174" s="66">
        <v>1E-4</v>
      </c>
      <c r="F174" s="66">
        <f>_xlfn.IFNA(INDEX('hp (pSv cm2)'!$B$2:$B$52,MATCH($C174,'hp (pSv cm2)'!$A$2:$A$52,1))+($C174-INDEX('hp (pSv cm2)'!$A$2:$A$52,MATCH($C174,'hp (pSv cm2)'!$A$2:$A$52,1)))*(INDEX('hp (pSv cm2)'!$B$2:$B$52,MATCH($C174,'hp (pSv cm2)'!$A$2:$A$52,1)+1)-INDEX('hp (pSv cm2)'!$B$2:$B$52,MATCH($C174,'hp (pSv cm2)'!$A$2:$A$52,1)))/(INDEX('hp (pSv cm2)'!$A$2:$A$52,MATCH($C174,'hp (pSv cm2)'!$A$2:$A$52,1)+1)-INDEX('hp (pSv cm2)'!$A$2:$A$52,MATCH($C174,'hp (pSv cm2)'!$A$2:$A$52,1))),$C174*'hp (pSv cm2)'!$B$2/'hp (pSv cm2)'!$A$2)</f>
        <v>3.1755979999999999</v>
      </c>
      <c r="G174" s="67">
        <f t="shared" si="13"/>
        <v>3.1755980000000003E-4</v>
      </c>
      <c r="H174" s="83">
        <f>_xlfn.IFNA(0.997*(INDEX('Mass attenuation coefficients'!$B$2:$B$37,MATCH($C174,'Mass attenuation coefficients'!$A$2:$A$37,1))+($C174-INDEX('Mass attenuation coefficients'!$A$2:$A$37,MATCH($C174,'Mass attenuation coefficients'!$A$2:$A$37,1)))*(INDEX('Mass attenuation coefficients'!$B$2:$B$37,MATCH($C174,'Mass attenuation coefficients'!$A$2:$A$37,1)+1)-INDEX('Mass attenuation coefficients'!$B$2:$B$37,MATCH($C174,'Mass attenuation coefficients'!$A$2:$A$37,1)))/(INDEX('Mass attenuation coefficients'!$A$2:$A$37,MATCH($C174,'Mass attenuation coefficients'!$A$2:$A$37,1)+1)-INDEX('Mass attenuation coefficients'!$A$2:$A$37,MATCH($C174,'Mass attenuation coefficients'!$A$2:$A$37,1)))),0.997*$C174*'Mass attenuation coefficients'!$B$2/'Mass attenuation coefficients'!$A$2)</f>
        <v>8.5768172246999994E-2</v>
      </c>
      <c r="I174" s="83">
        <f>_xlfn.IFNA(INDEX('Shultis Faw'!$C$2:$C$26,MATCH($C174,'Shultis Faw'!$A$2:$A$26,1))+($C174-INDEX('Shultis Faw'!$A$2:$A$26,MATCH($C174,'Shultis Faw'!$A$2:$A$26,1)))*(INDEX('Shultis Faw'!$C$2:$C$26,MATCH($C174,'Shultis Faw'!$A$2:$A$26,1)+1)-INDEX('Shultis Faw'!$C$2:$C$26,MATCH($C174,'Shultis Faw'!$A$2:$A$26,1)))/(INDEX('Shultis Faw'!$A$2:$A$26,MATCH($C174,'Shultis Faw'!$A$2:$A$26,1)+1)-INDEX('Shultis Faw'!$A$2:$A$26,MATCH($C174,'Shultis Faw'!$A$2:$A$26,1))),$C174*'Shultis Faw'!$C$2/'Shultis Faw'!$A$2)</f>
        <v>2.3235565</v>
      </c>
      <c r="J174" s="83">
        <f>_xlfn.IFNA(INDEX('Shultis Faw'!$D$2:$D$26,MATCH($C174,'Shultis Faw'!$A$2:$A$26,1))+($C174-INDEX('Shultis Faw'!$A$2:$A$26,MATCH($C174,'Shultis Faw'!$A$2:$A$26,1)))*(INDEX('Shultis Faw'!$D$2:$D$26,MATCH($C174,'Shultis Faw'!$A$2:$A$26,1)+1)-INDEX('Shultis Faw'!$D$2:$D$26,MATCH($C174,'Shultis Faw'!$A$2:$A$26,1)))/(INDEX('Shultis Faw'!$A$2:$A$26,MATCH($C174,'Shultis Faw'!$A$2:$A$26,1)+1)-INDEX('Shultis Faw'!$A$2:$A$26,MATCH($C174,'Shultis Faw'!$A$2:$A$26,1))),$C174*'Shultis Faw'!$D$2/'Shultis Faw'!$A$2)</f>
        <v>1.6352735</v>
      </c>
      <c r="K174" s="83">
        <f>_xlfn.IFNA(INDEX('Shultis Faw'!$B$2:$B$26,MATCH($C174,'Shultis Faw'!$A$2:$A$26,1))+($C174-INDEX('Shultis Faw'!$A$2:$A$26,MATCH($C174,'Shultis Faw'!$A$2:$A$26,1)))*(INDEX('Shultis Faw'!$B$2:$B$26,MATCH($C174,'Shultis Faw'!$A$2:$A$26,1)+1)-INDEX('Shultis Faw'!$B$2:$B$26,MATCH($C174,'Shultis Faw'!$A$2:$A$26,1)))/(INDEX('Shultis Faw'!$A$2:$A$26,MATCH($C174,'Shultis Faw'!$A$2:$A$26,1)+1)-INDEX('Shultis Faw'!$A$2:$A$26,MATCH($C174,'Shultis Faw'!$A$2:$A$26,1))),$C174*'Shultis Faw'!$B$2/'Shultis Faw'!$A$2)</f>
        <v>-0.1178459</v>
      </c>
      <c r="L174" s="83">
        <f>_xlfn.IFNA(INDEX('Shultis Faw'!$E$2:$E$26,MATCH($C174,'Shultis Faw'!$A$2:$A$26,1))+($C174-INDEX('Shultis Faw'!$A$2:$A$26,MATCH($C174,'Shultis Faw'!$A$2:$A$26,1)))*(INDEX('Shultis Faw'!$E$2:$E$26,MATCH($C174,'Shultis Faw'!$A$2:$A$26,1)+1)-INDEX('Shultis Faw'!$E$2:$E$26,MATCH($C174,'Shultis Faw'!$A$2:$A$26,1)))/(INDEX('Shultis Faw'!$A$2:$A$26,MATCH($C174,'Shultis Faw'!$A$2:$A$26,1)+1)-INDEX('Shultis Faw'!$A$2:$A$26,MATCH($C174,'Shultis Faw'!$A$2:$A$26,1))),$C174*'Shultis Faw'!$E$2/'Shultis Faw'!$A$2)</f>
        <v>4.8162259999999998E-2</v>
      </c>
      <c r="M174" s="83">
        <f>_xlfn.IFNA(INDEX('Shultis Faw'!$F$2:$F$26,MATCH($C174,'Shultis Faw'!$A$2:$A$26,1))+($C174-INDEX('Shultis Faw'!$A$2:$A$26,MATCH($C174,'Shultis Faw'!$A$2:$A$26,1)))*(INDEX('Shultis Faw'!$F$2:$F$26,MATCH($C174,'Shultis Faw'!$A$2:$A$26,1)+1)-INDEX('Shultis Faw'!$F$2:$F$26,MATCH($C174,'Shultis Faw'!$A$2:$A$26,1)))/(INDEX('Shultis Faw'!$A$2:$A$26,MATCH($C174,'Shultis Faw'!$A$2:$A$26,1)+1)-INDEX('Shultis Faw'!$A$2:$A$26,MATCH($C174,'Shultis Faw'!$A$2:$A$26,1))),$C174*'Shultis Faw'!$F$2/'Shultis Faw'!$A$2)</f>
        <v>14.272107</v>
      </c>
      <c r="N174" s="83">
        <f>J174*(H174*'Externe blootstelling'!$D$23/2)^K174+L174*(TANH(((H174*'Externe blootstelling'!$D$23)/(2*M174))-2)-TANH(-2))/(1-TANH(-2))</f>
        <v>1.5876057271552604</v>
      </c>
      <c r="O174" s="83">
        <f>IF(N174=1,1+(I174-1)*H174*'Externe blootstelling'!$D$23/2,1+(I174-1)*(N174^(H174*'Externe blootstelling'!$D$23/2)-1)/(N174-1))</f>
        <v>2.8299514190165072</v>
      </c>
      <c r="P174" s="67">
        <f>G174*EXP(-H174*'Externe blootstelling'!$D$23/2)*O174</f>
        <v>2.4824175960381427E-4</v>
      </c>
      <c r="Q174" s="68"/>
    </row>
    <row r="175" spans="1:17" x14ac:dyDescent="0.2">
      <c r="A175" s="217"/>
      <c r="B175" s="64" t="s">
        <v>104</v>
      </c>
      <c r="C175" s="66">
        <v>0.67115499999999995</v>
      </c>
      <c r="D175" s="66">
        <f t="shared" si="12"/>
        <v>1.073848E-13</v>
      </c>
      <c r="E175" s="66">
        <v>1.94E-4</v>
      </c>
      <c r="F175" s="66">
        <f>_xlfn.IFNA(INDEX('hp (pSv cm2)'!$B$2:$B$52,MATCH($C175,'hp (pSv cm2)'!$A$2:$A$52,1))+($C175-INDEX('hp (pSv cm2)'!$A$2:$A$52,MATCH($C175,'hp (pSv cm2)'!$A$2:$A$52,1)))*(INDEX('hp (pSv cm2)'!$B$2:$B$52,MATCH($C175,'hp (pSv cm2)'!$A$2:$A$52,1)+1)-INDEX('hp (pSv cm2)'!$B$2:$B$52,MATCH($C175,'hp (pSv cm2)'!$A$2:$A$52,1)))/(INDEX('hp (pSv cm2)'!$A$2:$A$52,MATCH($C175,'hp (pSv cm2)'!$A$2:$A$52,1)+1)-INDEX('hp (pSv cm2)'!$A$2:$A$52,MATCH($C175,'hp (pSv cm2)'!$A$2:$A$52,1))),$C175*'hp (pSv cm2)'!$B$2/'hp (pSv cm2)'!$A$2)</f>
        <v>3.2017354999999998</v>
      </c>
      <c r="G175" s="67">
        <f t="shared" si="13"/>
        <v>6.2113668699999996E-4</v>
      </c>
      <c r="H175" s="83">
        <f>_xlfn.IFNA(0.997*(INDEX('Mass attenuation coefficients'!$B$2:$B$37,MATCH($C175,'Mass attenuation coefficients'!$A$2:$A$37,1))+($C175-INDEX('Mass attenuation coefficients'!$A$2:$A$37,MATCH($C175,'Mass attenuation coefficients'!$A$2:$A$37,1)))*(INDEX('Mass attenuation coefficients'!$B$2:$B$37,MATCH($C175,'Mass attenuation coefficients'!$A$2:$A$37,1)+1)-INDEX('Mass attenuation coefficients'!$B$2:$B$37,MATCH($C175,'Mass attenuation coefficients'!$A$2:$A$37,1)))/(INDEX('Mass attenuation coefficients'!$A$2:$A$37,MATCH($C175,'Mass attenuation coefficients'!$A$2:$A$37,1)+1)-INDEX('Mass attenuation coefficients'!$A$2:$A$37,MATCH($C175,'Mass attenuation coefficients'!$A$2:$A$37,1)))),0.997*$C175*'Mass attenuation coefficients'!$B$2/'Mass attenuation coefficients'!$A$2)</f>
        <v>8.5421459265749997E-2</v>
      </c>
      <c r="I175" s="83">
        <f>_xlfn.IFNA(INDEX('Shultis Faw'!$C$2:$C$26,MATCH($C175,'Shultis Faw'!$A$2:$A$26,1))+($C175-INDEX('Shultis Faw'!$A$2:$A$26,MATCH($C175,'Shultis Faw'!$A$2:$A$26,1)))*(INDEX('Shultis Faw'!$C$2:$C$26,MATCH($C175,'Shultis Faw'!$A$2:$A$26,1)+1)-INDEX('Shultis Faw'!$C$2:$C$26,MATCH($C175,'Shultis Faw'!$A$2:$A$26,1)))/(INDEX('Shultis Faw'!$A$2:$A$26,MATCH($C175,'Shultis Faw'!$A$2:$A$26,1)+1)-INDEX('Shultis Faw'!$A$2:$A$26,MATCH($C175,'Shultis Faw'!$A$2:$A$26,1))),$C175*'Shultis Faw'!$C$2/'Shultis Faw'!$A$2)</f>
        <v>2.318297125</v>
      </c>
      <c r="J175" s="83">
        <f>_xlfn.IFNA(INDEX('Shultis Faw'!$D$2:$D$26,MATCH($C175,'Shultis Faw'!$A$2:$A$26,1))+($C175-INDEX('Shultis Faw'!$A$2:$A$26,MATCH($C175,'Shultis Faw'!$A$2:$A$26,1)))*(INDEX('Shultis Faw'!$D$2:$D$26,MATCH($C175,'Shultis Faw'!$A$2:$A$26,1)+1)-INDEX('Shultis Faw'!$D$2:$D$26,MATCH($C175,'Shultis Faw'!$A$2:$A$26,1)))/(INDEX('Shultis Faw'!$A$2:$A$26,MATCH($C175,'Shultis Faw'!$A$2:$A$26,1)+1)-INDEX('Shultis Faw'!$A$2:$A$26,MATCH($C175,'Shultis Faw'!$A$2:$A$26,1))),$C175*'Shultis Faw'!$D$2/'Shultis Faw'!$A$2)</f>
        <v>1.630970375</v>
      </c>
      <c r="K175" s="83">
        <f>_xlfn.IFNA(INDEX('Shultis Faw'!$B$2:$B$26,MATCH($C175,'Shultis Faw'!$A$2:$A$26,1))+($C175-INDEX('Shultis Faw'!$A$2:$A$26,MATCH($C175,'Shultis Faw'!$A$2:$A$26,1)))*(INDEX('Shultis Faw'!$B$2:$B$26,MATCH($C175,'Shultis Faw'!$A$2:$A$26,1)+1)-INDEX('Shultis Faw'!$B$2:$B$26,MATCH($C175,'Shultis Faw'!$A$2:$A$26,1)))/(INDEX('Shultis Faw'!$A$2:$A$26,MATCH($C175,'Shultis Faw'!$A$2:$A$26,1)+1)-INDEX('Shultis Faw'!$A$2:$A$26,MATCH($C175,'Shultis Faw'!$A$2:$A$26,1))),$C175*'Shultis Faw'!$B$2/'Shultis Faw'!$A$2)</f>
        <v>-0.117240275</v>
      </c>
      <c r="L175" s="83">
        <f>_xlfn.IFNA(INDEX('Shultis Faw'!$E$2:$E$26,MATCH($C175,'Shultis Faw'!$A$2:$A$26,1))+($C175-INDEX('Shultis Faw'!$A$2:$A$26,MATCH($C175,'Shultis Faw'!$A$2:$A$26,1)))*(INDEX('Shultis Faw'!$E$2:$E$26,MATCH($C175,'Shultis Faw'!$A$2:$A$26,1)+1)-INDEX('Shultis Faw'!$E$2:$E$26,MATCH($C175,'Shultis Faw'!$A$2:$A$26,1)))/(INDEX('Shultis Faw'!$A$2:$A$26,MATCH($C175,'Shultis Faw'!$A$2:$A$26,1)+1)-INDEX('Shultis Faw'!$A$2:$A$26,MATCH($C175,'Shultis Faw'!$A$2:$A$26,1))),$C175*'Shultis Faw'!$E$2/'Shultis Faw'!$A$2)</f>
        <v>4.7951885E-2</v>
      </c>
      <c r="M175" s="83">
        <f>_xlfn.IFNA(INDEX('Shultis Faw'!$F$2:$F$26,MATCH($C175,'Shultis Faw'!$A$2:$A$26,1))+($C175-INDEX('Shultis Faw'!$A$2:$A$26,MATCH($C175,'Shultis Faw'!$A$2:$A$26,1)))*(INDEX('Shultis Faw'!$F$2:$F$26,MATCH($C175,'Shultis Faw'!$A$2:$A$26,1)+1)-INDEX('Shultis Faw'!$F$2:$F$26,MATCH($C175,'Shultis Faw'!$A$2:$A$26,1)))/(INDEX('Shultis Faw'!$A$2:$A$26,MATCH($C175,'Shultis Faw'!$A$2:$A$26,1)+1)-INDEX('Shultis Faw'!$A$2:$A$26,MATCH($C175,'Shultis Faw'!$A$2:$A$26,1))),$C175*'Shultis Faw'!$F$2/'Shultis Faw'!$A$2)</f>
        <v>14.276250750000001</v>
      </c>
      <c r="N175" s="83">
        <f>J175*(H175*'Externe blootstelling'!$D$23/2)^K175+L175*(TANH(((H175*'Externe blootstelling'!$D$23)/(2*M175))-2)-TANH(-2))/(1-TANH(-2))</f>
        <v>1.5844207157899601</v>
      </c>
      <c r="O175" s="83">
        <f>IF(N175=1,1+(I175-1)*H175*'Externe blootstelling'!$D$23/2,1+(I175-1)*(N175^(H175*'Externe blootstelling'!$D$23/2)-1)/(N175-1))</f>
        <v>2.8123158516552023</v>
      </c>
      <c r="P175" s="67">
        <f>G175*EXP(-H175*'Externe blootstelling'!$D$23/2)*O175</f>
        <v>4.8504300981543216E-4</v>
      </c>
      <c r="Q175" s="68"/>
    </row>
    <row r="176" spans="1:17" x14ac:dyDescent="0.2">
      <c r="A176" s="217"/>
      <c r="B176" s="64" t="s">
        <v>104</v>
      </c>
      <c r="C176" s="66">
        <v>0.67467499999999991</v>
      </c>
      <c r="D176" s="66">
        <f t="shared" si="12"/>
        <v>1.0794799999999998E-13</v>
      </c>
      <c r="E176" s="66">
        <v>1.7000000000000001E-3</v>
      </c>
      <c r="F176" s="66">
        <f>_xlfn.IFNA(INDEX('hp (pSv cm2)'!$B$2:$B$52,MATCH($C176,'hp (pSv cm2)'!$A$2:$A$52,1))+($C176-INDEX('hp (pSv cm2)'!$A$2:$A$52,MATCH($C176,'hp (pSv cm2)'!$A$2:$A$52,1)))*(INDEX('hp (pSv cm2)'!$B$2:$B$52,MATCH($C176,'hp (pSv cm2)'!$A$2:$A$52,1)+1)-INDEX('hp (pSv cm2)'!$B$2:$B$52,MATCH($C176,'hp (pSv cm2)'!$A$2:$A$52,1)))/(INDEX('hp (pSv cm2)'!$A$2:$A$52,MATCH($C176,'hp (pSv cm2)'!$A$2:$A$52,1)+1)-INDEX('hp (pSv cm2)'!$A$2:$A$52,MATCH($C176,'hp (pSv cm2)'!$A$2:$A$52,1))),$C176*'hp (pSv cm2)'!$B$2/'hp (pSv cm2)'!$A$2)</f>
        <v>3.2161674999999996</v>
      </c>
      <c r="G176" s="67">
        <f t="shared" si="13"/>
        <v>5.4674847499999995E-3</v>
      </c>
      <c r="H176" s="83">
        <f>_xlfn.IFNA(0.997*(INDEX('Mass attenuation coefficients'!$B$2:$B$37,MATCH($C176,'Mass attenuation coefficients'!$A$2:$A$37,1))+($C176-INDEX('Mass attenuation coefficients'!$A$2:$A$37,MATCH($C176,'Mass attenuation coefficients'!$A$2:$A$37,1)))*(INDEX('Mass attenuation coefficients'!$B$2:$B$37,MATCH($C176,'Mass attenuation coefficients'!$A$2:$A$37,1)+1)-INDEX('Mass attenuation coefficients'!$B$2:$B$37,MATCH($C176,'Mass attenuation coefficients'!$A$2:$A$37,1)))/(INDEX('Mass attenuation coefficients'!$A$2:$A$37,MATCH($C176,'Mass attenuation coefficients'!$A$2:$A$37,1)+1)-INDEX('Mass attenuation coefficients'!$A$2:$A$37,MATCH($C176,'Mass attenuation coefficients'!$A$2:$A$37,1)))),0.997*$C176*'Mass attenuation coefficients'!$B$2/'Mass attenuation coefficients'!$A$2)</f>
        <v>8.5230019313750016E-2</v>
      </c>
      <c r="I176" s="83">
        <f>_xlfn.IFNA(INDEX('Shultis Faw'!$C$2:$C$26,MATCH($C176,'Shultis Faw'!$A$2:$A$26,1))+($C176-INDEX('Shultis Faw'!$A$2:$A$26,MATCH($C176,'Shultis Faw'!$A$2:$A$26,1)))*(INDEX('Shultis Faw'!$C$2:$C$26,MATCH($C176,'Shultis Faw'!$A$2:$A$26,1)+1)-INDEX('Shultis Faw'!$C$2:$C$26,MATCH($C176,'Shultis Faw'!$A$2:$A$26,1)))/(INDEX('Shultis Faw'!$A$2:$A$26,MATCH($C176,'Shultis Faw'!$A$2:$A$26,1)+1)-INDEX('Shultis Faw'!$A$2:$A$26,MATCH($C176,'Shultis Faw'!$A$2:$A$26,1))),$C176*'Shultis Faw'!$C$2/'Shultis Faw'!$A$2)</f>
        <v>2.3153931249999999</v>
      </c>
      <c r="J176" s="83">
        <f>_xlfn.IFNA(INDEX('Shultis Faw'!$D$2:$D$26,MATCH($C176,'Shultis Faw'!$A$2:$A$26,1))+($C176-INDEX('Shultis Faw'!$A$2:$A$26,MATCH($C176,'Shultis Faw'!$A$2:$A$26,1)))*(INDEX('Shultis Faw'!$D$2:$D$26,MATCH($C176,'Shultis Faw'!$A$2:$A$26,1)+1)-INDEX('Shultis Faw'!$D$2:$D$26,MATCH($C176,'Shultis Faw'!$A$2:$A$26,1)))/(INDEX('Shultis Faw'!$A$2:$A$26,MATCH($C176,'Shultis Faw'!$A$2:$A$26,1)+1)-INDEX('Shultis Faw'!$A$2:$A$26,MATCH($C176,'Shultis Faw'!$A$2:$A$26,1))),$C176*'Shultis Faw'!$D$2/'Shultis Faw'!$A$2)</f>
        <v>1.628594375</v>
      </c>
      <c r="K176" s="83">
        <f>_xlfn.IFNA(INDEX('Shultis Faw'!$B$2:$B$26,MATCH($C176,'Shultis Faw'!$A$2:$A$26,1))+($C176-INDEX('Shultis Faw'!$A$2:$A$26,MATCH($C176,'Shultis Faw'!$A$2:$A$26,1)))*(INDEX('Shultis Faw'!$B$2:$B$26,MATCH($C176,'Shultis Faw'!$A$2:$A$26,1)+1)-INDEX('Shultis Faw'!$B$2:$B$26,MATCH($C176,'Shultis Faw'!$A$2:$A$26,1)))/(INDEX('Shultis Faw'!$A$2:$A$26,MATCH($C176,'Shultis Faw'!$A$2:$A$26,1)+1)-INDEX('Shultis Faw'!$A$2:$A$26,MATCH($C176,'Shultis Faw'!$A$2:$A$26,1))),$C176*'Shultis Faw'!$B$2/'Shultis Faw'!$A$2)</f>
        <v>-0.11690587500000001</v>
      </c>
      <c r="L176" s="83">
        <f>_xlfn.IFNA(INDEX('Shultis Faw'!$E$2:$E$26,MATCH($C176,'Shultis Faw'!$A$2:$A$26,1))+($C176-INDEX('Shultis Faw'!$A$2:$A$26,MATCH($C176,'Shultis Faw'!$A$2:$A$26,1)))*(INDEX('Shultis Faw'!$E$2:$E$26,MATCH($C176,'Shultis Faw'!$A$2:$A$26,1)+1)-INDEX('Shultis Faw'!$E$2:$E$26,MATCH($C176,'Shultis Faw'!$A$2:$A$26,1)))/(INDEX('Shultis Faw'!$A$2:$A$26,MATCH($C176,'Shultis Faw'!$A$2:$A$26,1)+1)-INDEX('Shultis Faw'!$A$2:$A$26,MATCH($C176,'Shultis Faw'!$A$2:$A$26,1))),$C176*'Shultis Faw'!$E$2/'Shultis Faw'!$A$2)</f>
        <v>4.7835725000000003E-2</v>
      </c>
      <c r="M176" s="83">
        <f>_xlfn.IFNA(INDEX('Shultis Faw'!$F$2:$F$26,MATCH($C176,'Shultis Faw'!$A$2:$A$26,1))+($C176-INDEX('Shultis Faw'!$A$2:$A$26,MATCH($C176,'Shultis Faw'!$A$2:$A$26,1)))*(INDEX('Shultis Faw'!$F$2:$F$26,MATCH($C176,'Shultis Faw'!$A$2:$A$26,1)+1)-INDEX('Shultis Faw'!$F$2:$F$26,MATCH($C176,'Shultis Faw'!$A$2:$A$26,1)))/(INDEX('Shultis Faw'!$A$2:$A$26,MATCH($C176,'Shultis Faw'!$A$2:$A$26,1)+1)-INDEX('Shultis Faw'!$A$2:$A$26,MATCH($C176,'Shultis Faw'!$A$2:$A$26,1))),$C176*'Shultis Faw'!$F$2/'Shultis Faw'!$A$2)</f>
        <v>14.278538749999999</v>
      </c>
      <c r="N176" s="83">
        <f>J176*(H176*'Externe blootstelling'!$D$23/2)^K176+L176*(TANH(((H176*'Externe blootstelling'!$D$23)/(2*M176))-2)-TANH(-2))/(1-TANH(-2))</f>
        <v>1.5826580904912373</v>
      </c>
      <c r="O176" s="83">
        <f>IF(N176=1,1+(I176-1)*H176*'Externe blootstelling'!$D$23/2,1+(I176-1)*(N176^(H176*'Externe blootstelling'!$D$23/2)-1)/(N176-1))</f>
        <v>2.8026351055963881</v>
      </c>
      <c r="P176" s="67">
        <f>G176*EXP(-H176*'Externe blootstelling'!$D$23/2)*O176</f>
        <v>4.2670745630670644E-3</v>
      </c>
      <c r="Q176" s="68"/>
    </row>
    <row r="177" spans="1:17" x14ac:dyDescent="0.2">
      <c r="A177" s="217"/>
      <c r="B177" s="64" t="s">
        <v>104</v>
      </c>
      <c r="C177" s="66">
        <v>0.67467699999999997</v>
      </c>
      <c r="D177" s="66">
        <f t="shared" si="12"/>
        <v>1.0794832E-13</v>
      </c>
      <c r="E177" s="66">
        <v>1.7100000000000001E-4</v>
      </c>
      <c r="F177" s="66">
        <f>_xlfn.IFNA(INDEX('hp (pSv cm2)'!$B$2:$B$52,MATCH($C177,'hp (pSv cm2)'!$A$2:$A$52,1))+($C177-INDEX('hp (pSv cm2)'!$A$2:$A$52,MATCH($C177,'hp (pSv cm2)'!$A$2:$A$52,1)))*(INDEX('hp (pSv cm2)'!$B$2:$B$52,MATCH($C177,'hp (pSv cm2)'!$A$2:$A$52,1)+1)-INDEX('hp (pSv cm2)'!$B$2:$B$52,MATCH($C177,'hp (pSv cm2)'!$A$2:$A$52,1)))/(INDEX('hp (pSv cm2)'!$A$2:$A$52,MATCH($C177,'hp (pSv cm2)'!$A$2:$A$52,1)+1)-INDEX('hp (pSv cm2)'!$A$2:$A$52,MATCH($C177,'hp (pSv cm2)'!$A$2:$A$52,1))),$C177*'hp (pSv cm2)'!$B$2/'hp (pSv cm2)'!$A$2)</f>
        <v>3.2161757</v>
      </c>
      <c r="G177" s="67">
        <f t="shared" si="13"/>
        <v>5.4996604470000003E-4</v>
      </c>
      <c r="H177" s="83">
        <f>_xlfn.IFNA(0.997*(INDEX('Mass attenuation coefficients'!$B$2:$B$37,MATCH($C177,'Mass attenuation coefficients'!$A$2:$A$37,1))+($C177-INDEX('Mass attenuation coefficients'!$A$2:$A$37,MATCH($C177,'Mass attenuation coefficients'!$A$2:$A$37,1)))*(INDEX('Mass attenuation coefficients'!$B$2:$B$37,MATCH($C177,'Mass attenuation coefficients'!$A$2:$A$37,1)+1)-INDEX('Mass attenuation coefficients'!$B$2:$B$37,MATCH($C177,'Mass attenuation coefficients'!$A$2:$A$37,1)))/(INDEX('Mass attenuation coefficients'!$A$2:$A$37,MATCH($C177,'Mass attenuation coefficients'!$A$2:$A$37,1)+1)-INDEX('Mass attenuation coefficients'!$A$2:$A$37,MATCH($C177,'Mass attenuation coefficients'!$A$2:$A$37,1)))),0.997*$C177*'Mass attenuation coefficients'!$B$2/'Mass attenuation coefficients'!$A$2)</f>
        <v>8.5229910541050002E-2</v>
      </c>
      <c r="I177" s="83">
        <f>_xlfn.IFNA(INDEX('Shultis Faw'!$C$2:$C$26,MATCH($C177,'Shultis Faw'!$A$2:$A$26,1))+($C177-INDEX('Shultis Faw'!$A$2:$A$26,MATCH($C177,'Shultis Faw'!$A$2:$A$26,1)))*(INDEX('Shultis Faw'!$C$2:$C$26,MATCH($C177,'Shultis Faw'!$A$2:$A$26,1)+1)-INDEX('Shultis Faw'!$C$2:$C$26,MATCH($C177,'Shultis Faw'!$A$2:$A$26,1)))/(INDEX('Shultis Faw'!$A$2:$A$26,MATCH($C177,'Shultis Faw'!$A$2:$A$26,1)+1)-INDEX('Shultis Faw'!$A$2:$A$26,MATCH($C177,'Shultis Faw'!$A$2:$A$26,1))),$C177*'Shultis Faw'!$C$2/'Shultis Faw'!$A$2)</f>
        <v>2.3153914749999998</v>
      </c>
      <c r="J177" s="83">
        <f>_xlfn.IFNA(INDEX('Shultis Faw'!$D$2:$D$26,MATCH($C177,'Shultis Faw'!$A$2:$A$26,1))+($C177-INDEX('Shultis Faw'!$A$2:$A$26,MATCH($C177,'Shultis Faw'!$A$2:$A$26,1)))*(INDEX('Shultis Faw'!$D$2:$D$26,MATCH($C177,'Shultis Faw'!$A$2:$A$26,1)+1)-INDEX('Shultis Faw'!$D$2:$D$26,MATCH($C177,'Shultis Faw'!$A$2:$A$26,1)))/(INDEX('Shultis Faw'!$A$2:$A$26,MATCH($C177,'Shultis Faw'!$A$2:$A$26,1)+1)-INDEX('Shultis Faw'!$A$2:$A$26,MATCH($C177,'Shultis Faw'!$A$2:$A$26,1))),$C177*'Shultis Faw'!$D$2/'Shultis Faw'!$A$2)</f>
        <v>1.628593025</v>
      </c>
      <c r="K177" s="83">
        <f>_xlfn.IFNA(INDEX('Shultis Faw'!$B$2:$B$26,MATCH($C177,'Shultis Faw'!$A$2:$A$26,1))+($C177-INDEX('Shultis Faw'!$A$2:$A$26,MATCH($C177,'Shultis Faw'!$A$2:$A$26,1)))*(INDEX('Shultis Faw'!$B$2:$B$26,MATCH($C177,'Shultis Faw'!$A$2:$A$26,1)+1)-INDEX('Shultis Faw'!$B$2:$B$26,MATCH($C177,'Shultis Faw'!$A$2:$A$26,1)))/(INDEX('Shultis Faw'!$A$2:$A$26,MATCH($C177,'Shultis Faw'!$A$2:$A$26,1)+1)-INDEX('Shultis Faw'!$A$2:$A$26,MATCH($C177,'Shultis Faw'!$A$2:$A$26,1))),$C177*'Shultis Faw'!$B$2/'Shultis Faw'!$A$2)</f>
        <v>-0.116905685</v>
      </c>
      <c r="L177" s="83">
        <f>_xlfn.IFNA(INDEX('Shultis Faw'!$E$2:$E$26,MATCH($C177,'Shultis Faw'!$A$2:$A$26,1))+($C177-INDEX('Shultis Faw'!$A$2:$A$26,MATCH($C177,'Shultis Faw'!$A$2:$A$26,1)))*(INDEX('Shultis Faw'!$E$2:$E$26,MATCH($C177,'Shultis Faw'!$A$2:$A$26,1)+1)-INDEX('Shultis Faw'!$E$2:$E$26,MATCH($C177,'Shultis Faw'!$A$2:$A$26,1)))/(INDEX('Shultis Faw'!$A$2:$A$26,MATCH($C177,'Shultis Faw'!$A$2:$A$26,1)+1)-INDEX('Shultis Faw'!$A$2:$A$26,MATCH($C177,'Shultis Faw'!$A$2:$A$26,1))),$C177*'Shultis Faw'!$E$2/'Shultis Faw'!$A$2)</f>
        <v>4.7835659000000003E-2</v>
      </c>
      <c r="M177" s="83">
        <f>_xlfn.IFNA(INDEX('Shultis Faw'!$F$2:$F$26,MATCH($C177,'Shultis Faw'!$A$2:$A$26,1))+($C177-INDEX('Shultis Faw'!$A$2:$A$26,MATCH($C177,'Shultis Faw'!$A$2:$A$26,1)))*(INDEX('Shultis Faw'!$F$2:$F$26,MATCH($C177,'Shultis Faw'!$A$2:$A$26,1)+1)-INDEX('Shultis Faw'!$F$2:$F$26,MATCH($C177,'Shultis Faw'!$A$2:$A$26,1)))/(INDEX('Shultis Faw'!$A$2:$A$26,MATCH($C177,'Shultis Faw'!$A$2:$A$26,1)+1)-INDEX('Shultis Faw'!$A$2:$A$26,MATCH($C177,'Shultis Faw'!$A$2:$A$26,1))),$C177*'Shultis Faw'!$F$2/'Shultis Faw'!$A$2)</f>
        <v>14.27854005</v>
      </c>
      <c r="N177" s="83">
        <f>J177*(H177*'Externe blootstelling'!$D$23/2)^K177+L177*(TANH(((H177*'Externe blootstelling'!$D$23)/(2*M177))-2)-TANH(-2))/(1-TANH(-2))</f>
        <v>1.582657088190824</v>
      </c>
      <c r="O177" s="83">
        <f>IF(N177=1,1+(I177-1)*H177*'Externe blootstelling'!$D$23/2,1+(I177-1)*(N177^(H177*'Externe blootstelling'!$D$23/2)-1)/(N177-1))</f>
        <v>2.8026296166294871</v>
      </c>
      <c r="P177" s="67">
        <f>G177*EXP(-H177*'Externe blootstelling'!$D$23/2)*O177</f>
        <v>4.2921845419082979E-4</v>
      </c>
      <c r="Q177" s="68"/>
    </row>
    <row r="178" spans="1:17" x14ac:dyDescent="0.2">
      <c r="A178" s="217"/>
      <c r="B178" s="64" t="s">
        <v>104</v>
      </c>
      <c r="C178" s="66">
        <v>0.67862300000000009</v>
      </c>
      <c r="D178" s="66">
        <f t="shared" si="12"/>
        <v>1.0857968000000001E-13</v>
      </c>
      <c r="E178" s="66">
        <v>4.6999999999999993E-3</v>
      </c>
      <c r="F178" s="66">
        <f>_xlfn.IFNA(INDEX('hp (pSv cm2)'!$B$2:$B$52,MATCH($C178,'hp (pSv cm2)'!$A$2:$A$52,1))+($C178-INDEX('hp (pSv cm2)'!$A$2:$A$52,MATCH($C178,'hp (pSv cm2)'!$A$2:$A$52,1)))*(INDEX('hp (pSv cm2)'!$B$2:$B$52,MATCH($C178,'hp (pSv cm2)'!$A$2:$A$52,1)+1)-INDEX('hp (pSv cm2)'!$B$2:$B$52,MATCH($C178,'hp (pSv cm2)'!$A$2:$A$52,1)))/(INDEX('hp (pSv cm2)'!$A$2:$A$52,MATCH($C178,'hp (pSv cm2)'!$A$2:$A$52,1)+1)-INDEX('hp (pSv cm2)'!$A$2:$A$52,MATCH($C178,'hp (pSv cm2)'!$A$2:$A$52,1))),$C178*'hp (pSv cm2)'!$B$2/'hp (pSv cm2)'!$A$2)</f>
        <v>3.2323543000000003</v>
      </c>
      <c r="G178" s="67">
        <f t="shared" si="13"/>
        <v>1.5192065209999999E-2</v>
      </c>
      <c r="H178" s="83">
        <f>_xlfn.IFNA(0.997*(INDEX('Mass attenuation coefficients'!$B$2:$B$37,MATCH($C178,'Mass attenuation coefficients'!$A$2:$A$37,1))+($C178-INDEX('Mass attenuation coefficients'!$A$2:$A$37,MATCH($C178,'Mass attenuation coefficients'!$A$2:$A$37,1)))*(INDEX('Mass attenuation coefficients'!$B$2:$B$37,MATCH($C178,'Mass attenuation coefficients'!$A$2:$A$37,1)+1)-INDEX('Mass attenuation coefficients'!$B$2:$B$37,MATCH($C178,'Mass attenuation coefficients'!$A$2:$A$37,1)))/(INDEX('Mass attenuation coefficients'!$A$2:$A$37,MATCH($C178,'Mass attenuation coefficients'!$A$2:$A$37,1)+1)-INDEX('Mass attenuation coefficients'!$A$2:$A$37,MATCH($C178,'Mass attenuation coefficients'!$A$2:$A$37,1)))),0.997*$C178*'Mass attenuation coefficients'!$B$2/'Mass attenuation coefficients'!$A$2)</f>
        <v>8.5015302003949994E-2</v>
      </c>
      <c r="I178" s="83">
        <f>_xlfn.IFNA(INDEX('Shultis Faw'!$C$2:$C$26,MATCH($C178,'Shultis Faw'!$A$2:$A$26,1))+($C178-INDEX('Shultis Faw'!$A$2:$A$26,MATCH($C178,'Shultis Faw'!$A$2:$A$26,1)))*(INDEX('Shultis Faw'!$C$2:$C$26,MATCH($C178,'Shultis Faw'!$A$2:$A$26,1)+1)-INDEX('Shultis Faw'!$C$2:$C$26,MATCH($C178,'Shultis Faw'!$A$2:$A$26,1)))/(INDEX('Shultis Faw'!$A$2:$A$26,MATCH($C178,'Shultis Faw'!$A$2:$A$26,1)+1)-INDEX('Shultis Faw'!$A$2:$A$26,MATCH($C178,'Shultis Faw'!$A$2:$A$26,1))),$C178*'Shultis Faw'!$C$2/'Shultis Faw'!$A$2)</f>
        <v>2.312136025</v>
      </c>
      <c r="J178" s="83">
        <f>_xlfn.IFNA(INDEX('Shultis Faw'!$D$2:$D$26,MATCH($C178,'Shultis Faw'!$A$2:$A$26,1))+($C178-INDEX('Shultis Faw'!$A$2:$A$26,MATCH($C178,'Shultis Faw'!$A$2:$A$26,1)))*(INDEX('Shultis Faw'!$D$2:$D$26,MATCH($C178,'Shultis Faw'!$A$2:$A$26,1)+1)-INDEX('Shultis Faw'!$D$2:$D$26,MATCH($C178,'Shultis Faw'!$A$2:$A$26,1)))/(INDEX('Shultis Faw'!$A$2:$A$26,MATCH($C178,'Shultis Faw'!$A$2:$A$26,1)+1)-INDEX('Shultis Faw'!$A$2:$A$26,MATCH($C178,'Shultis Faw'!$A$2:$A$26,1))),$C178*'Shultis Faw'!$D$2/'Shultis Faw'!$A$2)</f>
        <v>1.625929475</v>
      </c>
      <c r="K178" s="83">
        <f>_xlfn.IFNA(INDEX('Shultis Faw'!$B$2:$B$26,MATCH($C178,'Shultis Faw'!$A$2:$A$26,1))+($C178-INDEX('Shultis Faw'!$A$2:$A$26,MATCH($C178,'Shultis Faw'!$A$2:$A$26,1)))*(INDEX('Shultis Faw'!$B$2:$B$26,MATCH($C178,'Shultis Faw'!$A$2:$A$26,1)+1)-INDEX('Shultis Faw'!$B$2:$B$26,MATCH($C178,'Shultis Faw'!$A$2:$A$26,1)))/(INDEX('Shultis Faw'!$A$2:$A$26,MATCH($C178,'Shultis Faw'!$A$2:$A$26,1)+1)-INDEX('Shultis Faw'!$A$2:$A$26,MATCH($C178,'Shultis Faw'!$A$2:$A$26,1))),$C178*'Shultis Faw'!$B$2/'Shultis Faw'!$A$2)</f>
        <v>-0.116530815</v>
      </c>
      <c r="L178" s="83">
        <f>_xlfn.IFNA(INDEX('Shultis Faw'!$E$2:$E$26,MATCH($C178,'Shultis Faw'!$A$2:$A$26,1))+($C178-INDEX('Shultis Faw'!$A$2:$A$26,MATCH($C178,'Shultis Faw'!$A$2:$A$26,1)))*(INDEX('Shultis Faw'!$E$2:$E$26,MATCH($C178,'Shultis Faw'!$A$2:$A$26,1)+1)-INDEX('Shultis Faw'!$E$2:$E$26,MATCH($C178,'Shultis Faw'!$A$2:$A$26,1)))/(INDEX('Shultis Faw'!$A$2:$A$26,MATCH($C178,'Shultis Faw'!$A$2:$A$26,1)+1)-INDEX('Shultis Faw'!$A$2:$A$26,MATCH($C178,'Shultis Faw'!$A$2:$A$26,1))),$C178*'Shultis Faw'!$E$2/'Shultis Faw'!$A$2)</f>
        <v>4.7705440999999994E-2</v>
      </c>
      <c r="M178" s="83">
        <f>_xlfn.IFNA(INDEX('Shultis Faw'!$F$2:$F$26,MATCH($C178,'Shultis Faw'!$A$2:$A$26,1))+($C178-INDEX('Shultis Faw'!$A$2:$A$26,MATCH($C178,'Shultis Faw'!$A$2:$A$26,1)))*(INDEX('Shultis Faw'!$F$2:$F$26,MATCH($C178,'Shultis Faw'!$A$2:$A$26,1)+1)-INDEX('Shultis Faw'!$F$2:$F$26,MATCH($C178,'Shultis Faw'!$A$2:$A$26,1)))/(INDEX('Shultis Faw'!$A$2:$A$26,MATCH($C178,'Shultis Faw'!$A$2:$A$26,1)+1)-INDEX('Shultis Faw'!$A$2:$A$26,MATCH($C178,'Shultis Faw'!$A$2:$A$26,1))),$C178*'Shultis Faw'!$F$2/'Shultis Faw'!$A$2)</f>
        <v>14.28110495</v>
      </c>
      <c r="N178" s="83">
        <f>J178*(H178*'Externe blootstelling'!$D$23/2)^K178+L178*(TANH(((H178*'Externe blootstelling'!$D$23)/(2*M178))-2)-TANH(-2))/(1-TANH(-2))</f>
        <v>1.5806777608849201</v>
      </c>
      <c r="O178" s="83">
        <f>IF(N178=1,1+(I178-1)*H178*'Externe blootstelling'!$D$23/2,1+(I178-1)*(N178^(H178*'Externe blootstelling'!$D$23/2)-1)/(N178-1))</f>
        <v>2.7918251557134282</v>
      </c>
      <c r="P178" s="67">
        <f>G178*EXP(-H178*'Externe blootstelling'!$D$23/2)*O178</f>
        <v>1.1848950466840711E-2</v>
      </c>
      <c r="Q178" s="68"/>
    </row>
    <row r="179" spans="1:17" x14ac:dyDescent="0.2">
      <c r="A179" s="217"/>
      <c r="B179" s="64" t="s">
        <v>104</v>
      </c>
      <c r="C179" s="66">
        <v>0.68332000000000004</v>
      </c>
      <c r="D179" s="66">
        <f t="shared" si="12"/>
        <v>1.093312E-13</v>
      </c>
      <c r="E179" s="66">
        <v>3.1000000000000001E-5</v>
      </c>
      <c r="F179" s="66">
        <f>_xlfn.IFNA(INDEX('hp (pSv cm2)'!$B$2:$B$52,MATCH($C179,'hp (pSv cm2)'!$A$2:$A$52,1))+($C179-INDEX('hp (pSv cm2)'!$A$2:$A$52,MATCH($C179,'hp (pSv cm2)'!$A$2:$A$52,1)))*(INDEX('hp (pSv cm2)'!$B$2:$B$52,MATCH($C179,'hp (pSv cm2)'!$A$2:$A$52,1)+1)-INDEX('hp (pSv cm2)'!$B$2:$B$52,MATCH($C179,'hp (pSv cm2)'!$A$2:$A$52,1)))/(INDEX('hp (pSv cm2)'!$A$2:$A$52,MATCH($C179,'hp (pSv cm2)'!$A$2:$A$52,1)+1)-INDEX('hp (pSv cm2)'!$A$2:$A$52,MATCH($C179,'hp (pSv cm2)'!$A$2:$A$52,1))),$C179*'hp (pSv cm2)'!$B$2/'hp (pSv cm2)'!$A$2)</f>
        <v>3.2516120000000002</v>
      </c>
      <c r="G179" s="67">
        <f t="shared" si="13"/>
        <v>1.0079997200000001E-4</v>
      </c>
      <c r="H179" s="83">
        <f>_xlfn.IFNA(0.997*(INDEX('Mass attenuation coefficients'!$B$2:$B$37,MATCH($C179,'Mass attenuation coefficients'!$A$2:$A$37,1))+($C179-INDEX('Mass attenuation coefficients'!$A$2:$A$37,MATCH($C179,'Mass attenuation coefficients'!$A$2:$A$37,1)))*(INDEX('Mass attenuation coefficients'!$B$2:$B$37,MATCH($C179,'Mass attenuation coefficients'!$A$2:$A$37,1)+1)-INDEX('Mass attenuation coefficients'!$B$2:$B$37,MATCH($C179,'Mass attenuation coefficients'!$A$2:$A$37,1)))/(INDEX('Mass attenuation coefficients'!$A$2:$A$37,MATCH($C179,'Mass attenuation coefficients'!$A$2:$A$37,1)+1)-INDEX('Mass attenuation coefficients'!$A$2:$A$37,MATCH($C179,'Mass attenuation coefficients'!$A$2:$A$37,1)))),0.997*$C179*'Mass attenuation coefficients'!$B$2/'Mass attenuation coefficients'!$A$2)</f>
        <v>8.4759849318E-2</v>
      </c>
      <c r="I179" s="83">
        <f>_xlfn.IFNA(INDEX('Shultis Faw'!$C$2:$C$26,MATCH($C179,'Shultis Faw'!$A$2:$A$26,1))+($C179-INDEX('Shultis Faw'!$A$2:$A$26,MATCH($C179,'Shultis Faw'!$A$2:$A$26,1)))*(INDEX('Shultis Faw'!$C$2:$C$26,MATCH($C179,'Shultis Faw'!$A$2:$A$26,1)+1)-INDEX('Shultis Faw'!$C$2:$C$26,MATCH($C179,'Shultis Faw'!$A$2:$A$26,1)))/(INDEX('Shultis Faw'!$A$2:$A$26,MATCH($C179,'Shultis Faw'!$A$2:$A$26,1)+1)-INDEX('Shultis Faw'!$A$2:$A$26,MATCH($C179,'Shultis Faw'!$A$2:$A$26,1))),$C179*'Shultis Faw'!$C$2/'Shultis Faw'!$A$2)</f>
        <v>2.3082609999999999</v>
      </c>
      <c r="J179" s="83">
        <f>_xlfn.IFNA(INDEX('Shultis Faw'!$D$2:$D$26,MATCH($C179,'Shultis Faw'!$A$2:$A$26,1))+($C179-INDEX('Shultis Faw'!$A$2:$A$26,MATCH($C179,'Shultis Faw'!$A$2:$A$26,1)))*(INDEX('Shultis Faw'!$D$2:$D$26,MATCH($C179,'Shultis Faw'!$A$2:$A$26,1)+1)-INDEX('Shultis Faw'!$D$2:$D$26,MATCH($C179,'Shultis Faw'!$A$2:$A$26,1)))/(INDEX('Shultis Faw'!$A$2:$A$26,MATCH($C179,'Shultis Faw'!$A$2:$A$26,1)+1)-INDEX('Shultis Faw'!$A$2:$A$26,MATCH($C179,'Shultis Faw'!$A$2:$A$26,1))),$C179*'Shultis Faw'!$D$2/'Shultis Faw'!$A$2)</f>
        <v>1.6227590000000001</v>
      </c>
      <c r="K179" s="83">
        <f>_xlfn.IFNA(INDEX('Shultis Faw'!$B$2:$B$26,MATCH($C179,'Shultis Faw'!$A$2:$A$26,1))+($C179-INDEX('Shultis Faw'!$A$2:$A$26,MATCH($C179,'Shultis Faw'!$A$2:$A$26,1)))*(INDEX('Shultis Faw'!$B$2:$B$26,MATCH($C179,'Shultis Faw'!$A$2:$A$26,1)+1)-INDEX('Shultis Faw'!$B$2:$B$26,MATCH($C179,'Shultis Faw'!$A$2:$A$26,1)))/(INDEX('Shultis Faw'!$A$2:$A$26,MATCH($C179,'Shultis Faw'!$A$2:$A$26,1)+1)-INDEX('Shultis Faw'!$A$2:$A$26,MATCH($C179,'Shultis Faw'!$A$2:$A$26,1))),$C179*'Shultis Faw'!$B$2/'Shultis Faw'!$A$2)</f>
        <v>-0.1160846</v>
      </c>
      <c r="L179" s="83">
        <f>_xlfn.IFNA(INDEX('Shultis Faw'!$E$2:$E$26,MATCH($C179,'Shultis Faw'!$A$2:$A$26,1))+($C179-INDEX('Shultis Faw'!$A$2:$A$26,MATCH($C179,'Shultis Faw'!$A$2:$A$26,1)))*(INDEX('Shultis Faw'!$E$2:$E$26,MATCH($C179,'Shultis Faw'!$A$2:$A$26,1)+1)-INDEX('Shultis Faw'!$E$2:$E$26,MATCH($C179,'Shultis Faw'!$A$2:$A$26,1)))/(INDEX('Shultis Faw'!$A$2:$A$26,MATCH($C179,'Shultis Faw'!$A$2:$A$26,1)+1)-INDEX('Shultis Faw'!$A$2:$A$26,MATCH($C179,'Shultis Faw'!$A$2:$A$26,1))),$C179*'Shultis Faw'!$E$2/'Shultis Faw'!$A$2)</f>
        <v>4.7550439999999999E-2</v>
      </c>
      <c r="M179" s="83">
        <f>_xlfn.IFNA(INDEX('Shultis Faw'!$F$2:$F$26,MATCH($C179,'Shultis Faw'!$A$2:$A$26,1))+($C179-INDEX('Shultis Faw'!$A$2:$A$26,MATCH($C179,'Shultis Faw'!$A$2:$A$26,1)))*(INDEX('Shultis Faw'!$F$2:$F$26,MATCH($C179,'Shultis Faw'!$A$2:$A$26,1)+1)-INDEX('Shultis Faw'!$F$2:$F$26,MATCH($C179,'Shultis Faw'!$A$2:$A$26,1)))/(INDEX('Shultis Faw'!$A$2:$A$26,MATCH($C179,'Shultis Faw'!$A$2:$A$26,1)+1)-INDEX('Shultis Faw'!$A$2:$A$26,MATCH($C179,'Shultis Faw'!$A$2:$A$26,1))),$C179*'Shultis Faw'!$F$2/'Shultis Faw'!$A$2)</f>
        <v>14.284158</v>
      </c>
      <c r="N179" s="83">
        <f>J179*(H179*'Externe blootstelling'!$D$23/2)^K179+L179*(TANH(((H179*'Externe blootstelling'!$D$23)/(2*M179))-2)-TANH(-2))/(1-TANH(-2))</f>
        <v>1.5783170689000119</v>
      </c>
      <c r="O179" s="83">
        <f>IF(N179=1,1+(I179-1)*H179*'Externe blootstelling'!$D$23/2,1+(I179-1)*(N179^(H179*'Externe blootstelling'!$D$23/2)-1)/(N179-1))</f>
        <v>2.7790300448239078</v>
      </c>
      <c r="P179" s="67">
        <f>G179*EXP(-H179*'Externe blootstelling'!$D$23/2)*O179</f>
        <v>7.8558400230250392E-5</v>
      </c>
      <c r="Q179" s="68"/>
    </row>
    <row r="180" spans="1:17" x14ac:dyDescent="0.2">
      <c r="A180" s="217"/>
      <c r="B180" s="64" t="s">
        <v>104</v>
      </c>
      <c r="C180" s="66">
        <v>0.68661000000000005</v>
      </c>
      <c r="D180" s="66">
        <f t="shared" si="12"/>
        <v>1.0985759999999999E-13</v>
      </c>
      <c r="E180" s="66">
        <v>2.0000000000000001E-4</v>
      </c>
      <c r="F180" s="66">
        <f>_xlfn.IFNA(INDEX('hp (pSv cm2)'!$B$2:$B$52,MATCH($C180,'hp (pSv cm2)'!$A$2:$A$52,1))+($C180-INDEX('hp (pSv cm2)'!$A$2:$A$52,MATCH($C180,'hp (pSv cm2)'!$A$2:$A$52,1)))*(INDEX('hp (pSv cm2)'!$B$2:$B$52,MATCH($C180,'hp (pSv cm2)'!$A$2:$A$52,1)+1)-INDEX('hp (pSv cm2)'!$B$2:$B$52,MATCH($C180,'hp (pSv cm2)'!$A$2:$A$52,1)))/(INDEX('hp (pSv cm2)'!$A$2:$A$52,MATCH($C180,'hp (pSv cm2)'!$A$2:$A$52,1)+1)-INDEX('hp (pSv cm2)'!$A$2:$A$52,MATCH($C180,'hp (pSv cm2)'!$A$2:$A$52,1))),$C180*'hp (pSv cm2)'!$B$2/'hp (pSv cm2)'!$A$2)</f>
        <v>3.2651010000000005</v>
      </c>
      <c r="G180" s="67">
        <f t="shared" si="13"/>
        <v>6.530202000000001E-4</v>
      </c>
      <c r="H180" s="83">
        <f>_xlfn.IFNA(0.997*(INDEX('Mass attenuation coefficients'!$B$2:$B$37,MATCH($C180,'Mass attenuation coefficients'!$A$2:$A$37,1))+($C180-INDEX('Mass attenuation coefficients'!$A$2:$A$37,MATCH($C180,'Mass attenuation coefficients'!$A$2:$A$37,1)))*(INDEX('Mass attenuation coefficients'!$B$2:$B$37,MATCH($C180,'Mass attenuation coefficients'!$A$2:$A$37,1)+1)-INDEX('Mass attenuation coefficients'!$B$2:$B$37,MATCH($C180,'Mass attenuation coefficients'!$A$2:$A$37,1)))/(INDEX('Mass attenuation coefficients'!$A$2:$A$37,MATCH($C180,'Mass attenuation coefficients'!$A$2:$A$37,1)+1)-INDEX('Mass attenuation coefficients'!$A$2:$A$37,MATCH($C180,'Mass attenuation coefficients'!$A$2:$A$37,1)))),0.997*$C180*'Mass attenuation coefficients'!$B$2/'Mass attenuation coefficients'!$A$2)</f>
        <v>8.458091822649999E-2</v>
      </c>
      <c r="I180" s="83">
        <f>_xlfn.IFNA(INDEX('Shultis Faw'!$C$2:$C$26,MATCH($C180,'Shultis Faw'!$A$2:$A$26,1))+($C180-INDEX('Shultis Faw'!$A$2:$A$26,MATCH($C180,'Shultis Faw'!$A$2:$A$26,1)))*(INDEX('Shultis Faw'!$C$2:$C$26,MATCH($C180,'Shultis Faw'!$A$2:$A$26,1)+1)-INDEX('Shultis Faw'!$C$2:$C$26,MATCH($C180,'Shultis Faw'!$A$2:$A$26,1)))/(INDEX('Shultis Faw'!$A$2:$A$26,MATCH($C180,'Shultis Faw'!$A$2:$A$26,1)+1)-INDEX('Shultis Faw'!$A$2:$A$26,MATCH($C180,'Shultis Faw'!$A$2:$A$26,1))),$C180*'Shultis Faw'!$C$2/'Shultis Faw'!$A$2)</f>
        <v>2.30554675</v>
      </c>
      <c r="J180" s="83">
        <f>_xlfn.IFNA(INDEX('Shultis Faw'!$D$2:$D$26,MATCH($C180,'Shultis Faw'!$A$2:$A$26,1))+($C180-INDEX('Shultis Faw'!$A$2:$A$26,MATCH($C180,'Shultis Faw'!$A$2:$A$26,1)))*(INDEX('Shultis Faw'!$D$2:$D$26,MATCH($C180,'Shultis Faw'!$A$2:$A$26,1)+1)-INDEX('Shultis Faw'!$D$2:$D$26,MATCH($C180,'Shultis Faw'!$A$2:$A$26,1)))/(INDEX('Shultis Faw'!$A$2:$A$26,MATCH($C180,'Shultis Faw'!$A$2:$A$26,1)+1)-INDEX('Shultis Faw'!$A$2:$A$26,MATCH($C180,'Shultis Faw'!$A$2:$A$26,1))),$C180*'Shultis Faw'!$D$2/'Shultis Faw'!$A$2)</f>
        <v>1.6205382500000001</v>
      </c>
      <c r="K180" s="83">
        <f>_xlfn.IFNA(INDEX('Shultis Faw'!$B$2:$B$26,MATCH($C180,'Shultis Faw'!$A$2:$A$26,1))+($C180-INDEX('Shultis Faw'!$A$2:$A$26,MATCH($C180,'Shultis Faw'!$A$2:$A$26,1)))*(INDEX('Shultis Faw'!$B$2:$B$26,MATCH($C180,'Shultis Faw'!$A$2:$A$26,1)+1)-INDEX('Shultis Faw'!$B$2:$B$26,MATCH($C180,'Shultis Faw'!$A$2:$A$26,1)))/(INDEX('Shultis Faw'!$A$2:$A$26,MATCH($C180,'Shultis Faw'!$A$2:$A$26,1)+1)-INDEX('Shultis Faw'!$A$2:$A$26,MATCH($C180,'Shultis Faw'!$A$2:$A$26,1))),$C180*'Shultis Faw'!$B$2/'Shultis Faw'!$A$2)</f>
        <v>-0.11577204999999999</v>
      </c>
      <c r="L180" s="83">
        <f>_xlfn.IFNA(INDEX('Shultis Faw'!$E$2:$E$26,MATCH($C180,'Shultis Faw'!$A$2:$A$26,1))+($C180-INDEX('Shultis Faw'!$A$2:$A$26,MATCH($C180,'Shultis Faw'!$A$2:$A$26,1)))*(INDEX('Shultis Faw'!$E$2:$E$26,MATCH($C180,'Shultis Faw'!$A$2:$A$26,1)+1)-INDEX('Shultis Faw'!$E$2:$E$26,MATCH($C180,'Shultis Faw'!$A$2:$A$26,1)))/(INDEX('Shultis Faw'!$A$2:$A$26,MATCH($C180,'Shultis Faw'!$A$2:$A$26,1)+1)-INDEX('Shultis Faw'!$A$2:$A$26,MATCH($C180,'Shultis Faw'!$A$2:$A$26,1))),$C180*'Shultis Faw'!$E$2/'Shultis Faw'!$A$2)</f>
        <v>4.7441869999999997E-2</v>
      </c>
      <c r="M180" s="83">
        <f>_xlfn.IFNA(INDEX('Shultis Faw'!$F$2:$F$26,MATCH($C180,'Shultis Faw'!$A$2:$A$26,1))+($C180-INDEX('Shultis Faw'!$A$2:$A$26,MATCH($C180,'Shultis Faw'!$A$2:$A$26,1)))*(INDEX('Shultis Faw'!$F$2:$F$26,MATCH($C180,'Shultis Faw'!$A$2:$A$26,1)+1)-INDEX('Shultis Faw'!$F$2:$F$26,MATCH($C180,'Shultis Faw'!$A$2:$A$26,1)))/(INDEX('Shultis Faw'!$A$2:$A$26,MATCH($C180,'Shultis Faw'!$A$2:$A$26,1)+1)-INDEX('Shultis Faw'!$A$2:$A$26,MATCH($C180,'Shultis Faw'!$A$2:$A$26,1))),$C180*'Shultis Faw'!$F$2/'Shultis Faw'!$A$2)</f>
        <v>14.286296500000001</v>
      </c>
      <c r="N180" s="83">
        <f>J180*(H180*'Externe blootstelling'!$D$23/2)^K180+L180*(TANH(((H180*'Externe blootstelling'!$D$23)/(2*M180))-2)-TANH(-2))/(1-TANH(-2))</f>
        <v>1.5766605127302107</v>
      </c>
      <c r="O180" s="83">
        <f>IF(N180=1,1+(I180-1)*H180*'Externe blootstelling'!$D$23/2,1+(I180-1)*(N180^(H180*'Externe blootstelling'!$D$23/2)-1)/(N180-1))</f>
        <v>2.77011005701993</v>
      </c>
      <c r="P180" s="67">
        <f>G180*EXP(-H180*'Externe blootstelling'!$D$23/2)*O180</f>
        <v>5.0866077509982934E-4</v>
      </c>
      <c r="Q180" s="68"/>
    </row>
    <row r="181" spans="1:17" x14ac:dyDescent="0.2">
      <c r="A181" s="217"/>
      <c r="B181" s="64" t="s">
        <v>104</v>
      </c>
      <c r="C181" s="66">
        <v>0.68867</v>
      </c>
      <c r="D181" s="66">
        <f t="shared" si="12"/>
        <v>1.1018719999999999E-13</v>
      </c>
      <c r="E181" s="66">
        <v>8.4099999999999991E-3</v>
      </c>
      <c r="F181" s="66">
        <f>_xlfn.IFNA(INDEX('hp (pSv cm2)'!$B$2:$B$52,MATCH($C181,'hp (pSv cm2)'!$A$2:$A$52,1))+($C181-INDEX('hp (pSv cm2)'!$A$2:$A$52,MATCH($C181,'hp (pSv cm2)'!$A$2:$A$52,1)))*(INDEX('hp (pSv cm2)'!$B$2:$B$52,MATCH($C181,'hp (pSv cm2)'!$A$2:$A$52,1)+1)-INDEX('hp (pSv cm2)'!$B$2:$B$52,MATCH($C181,'hp (pSv cm2)'!$A$2:$A$52,1)))/(INDEX('hp (pSv cm2)'!$A$2:$A$52,MATCH($C181,'hp (pSv cm2)'!$A$2:$A$52,1)+1)-INDEX('hp (pSv cm2)'!$A$2:$A$52,MATCH($C181,'hp (pSv cm2)'!$A$2:$A$52,1))),$C181*'hp (pSv cm2)'!$B$2/'hp (pSv cm2)'!$A$2)</f>
        <v>3.2735470000000002</v>
      </c>
      <c r="G181" s="67">
        <f t="shared" si="13"/>
        <v>2.7530530269999999E-2</v>
      </c>
      <c r="H181" s="83">
        <f>_xlfn.IFNA(0.997*(INDEX('Mass attenuation coefficients'!$B$2:$B$37,MATCH($C181,'Mass attenuation coefficients'!$A$2:$A$37,1))+($C181-INDEX('Mass attenuation coefficients'!$A$2:$A$37,MATCH($C181,'Mass attenuation coefficients'!$A$2:$A$37,1)))*(INDEX('Mass attenuation coefficients'!$B$2:$B$37,MATCH($C181,'Mass attenuation coefficients'!$A$2:$A$37,1)+1)-INDEX('Mass attenuation coefficients'!$B$2:$B$37,MATCH($C181,'Mass attenuation coefficients'!$A$2:$A$37,1)))/(INDEX('Mass attenuation coefficients'!$A$2:$A$37,MATCH($C181,'Mass attenuation coefficients'!$A$2:$A$37,1)+1)-INDEX('Mass attenuation coefficients'!$A$2:$A$37,MATCH($C181,'Mass attenuation coefficients'!$A$2:$A$37,1)))),0.997*$C181*'Mass attenuation coefficients'!$B$2/'Mass attenuation coefficients'!$A$2)</f>
        <v>8.4468882345499999E-2</v>
      </c>
      <c r="I181" s="83">
        <f>_xlfn.IFNA(INDEX('Shultis Faw'!$C$2:$C$26,MATCH($C181,'Shultis Faw'!$A$2:$A$26,1))+($C181-INDEX('Shultis Faw'!$A$2:$A$26,MATCH($C181,'Shultis Faw'!$A$2:$A$26,1)))*(INDEX('Shultis Faw'!$C$2:$C$26,MATCH($C181,'Shultis Faw'!$A$2:$A$26,1)+1)-INDEX('Shultis Faw'!$C$2:$C$26,MATCH($C181,'Shultis Faw'!$A$2:$A$26,1)))/(INDEX('Shultis Faw'!$A$2:$A$26,MATCH($C181,'Shultis Faw'!$A$2:$A$26,1)+1)-INDEX('Shultis Faw'!$A$2:$A$26,MATCH($C181,'Shultis Faw'!$A$2:$A$26,1))),$C181*'Shultis Faw'!$C$2/'Shultis Faw'!$A$2)</f>
        <v>2.30384725</v>
      </c>
      <c r="J181" s="83">
        <f>_xlfn.IFNA(INDEX('Shultis Faw'!$D$2:$D$26,MATCH($C181,'Shultis Faw'!$A$2:$A$26,1))+($C181-INDEX('Shultis Faw'!$A$2:$A$26,MATCH($C181,'Shultis Faw'!$A$2:$A$26,1)))*(INDEX('Shultis Faw'!$D$2:$D$26,MATCH($C181,'Shultis Faw'!$A$2:$A$26,1)+1)-INDEX('Shultis Faw'!$D$2:$D$26,MATCH($C181,'Shultis Faw'!$A$2:$A$26,1)))/(INDEX('Shultis Faw'!$A$2:$A$26,MATCH($C181,'Shultis Faw'!$A$2:$A$26,1)+1)-INDEX('Shultis Faw'!$A$2:$A$26,MATCH($C181,'Shultis Faw'!$A$2:$A$26,1))),$C181*'Shultis Faw'!$D$2/'Shultis Faw'!$A$2)</f>
        <v>1.61914775</v>
      </c>
      <c r="K181" s="83">
        <f>_xlfn.IFNA(INDEX('Shultis Faw'!$B$2:$B$26,MATCH($C181,'Shultis Faw'!$A$2:$A$26,1))+($C181-INDEX('Shultis Faw'!$A$2:$A$26,MATCH($C181,'Shultis Faw'!$A$2:$A$26,1)))*(INDEX('Shultis Faw'!$B$2:$B$26,MATCH($C181,'Shultis Faw'!$A$2:$A$26,1)+1)-INDEX('Shultis Faw'!$B$2:$B$26,MATCH($C181,'Shultis Faw'!$A$2:$A$26,1)))/(INDEX('Shultis Faw'!$A$2:$A$26,MATCH($C181,'Shultis Faw'!$A$2:$A$26,1)+1)-INDEX('Shultis Faw'!$A$2:$A$26,MATCH($C181,'Shultis Faw'!$A$2:$A$26,1))),$C181*'Shultis Faw'!$B$2/'Shultis Faw'!$A$2)</f>
        <v>-0.11557634999999999</v>
      </c>
      <c r="L181" s="83">
        <f>_xlfn.IFNA(INDEX('Shultis Faw'!$E$2:$E$26,MATCH($C181,'Shultis Faw'!$A$2:$A$26,1))+($C181-INDEX('Shultis Faw'!$A$2:$A$26,MATCH($C181,'Shultis Faw'!$A$2:$A$26,1)))*(INDEX('Shultis Faw'!$E$2:$E$26,MATCH($C181,'Shultis Faw'!$A$2:$A$26,1)+1)-INDEX('Shultis Faw'!$E$2:$E$26,MATCH($C181,'Shultis Faw'!$A$2:$A$26,1)))/(INDEX('Shultis Faw'!$A$2:$A$26,MATCH($C181,'Shultis Faw'!$A$2:$A$26,1)+1)-INDEX('Shultis Faw'!$A$2:$A$26,MATCH($C181,'Shultis Faw'!$A$2:$A$26,1))),$C181*'Shultis Faw'!$E$2/'Shultis Faw'!$A$2)</f>
        <v>4.7373890000000002E-2</v>
      </c>
      <c r="M181" s="83">
        <f>_xlfn.IFNA(INDEX('Shultis Faw'!$F$2:$F$26,MATCH($C181,'Shultis Faw'!$A$2:$A$26,1))+($C181-INDEX('Shultis Faw'!$A$2:$A$26,MATCH($C181,'Shultis Faw'!$A$2:$A$26,1)))*(INDEX('Shultis Faw'!$F$2:$F$26,MATCH($C181,'Shultis Faw'!$A$2:$A$26,1)+1)-INDEX('Shultis Faw'!$F$2:$F$26,MATCH($C181,'Shultis Faw'!$A$2:$A$26,1)))/(INDEX('Shultis Faw'!$A$2:$A$26,MATCH($C181,'Shultis Faw'!$A$2:$A$26,1)+1)-INDEX('Shultis Faw'!$A$2:$A$26,MATCH($C181,'Shultis Faw'!$A$2:$A$26,1))),$C181*'Shultis Faw'!$F$2/'Shultis Faw'!$A$2)</f>
        <v>14.2876355</v>
      </c>
      <c r="N181" s="83">
        <f>J181*(H181*'Externe blootstelling'!$D$23/2)^K181+L181*(TANH(((H181*'Externe blootstelling'!$D$23)/(2*M181))-2)-TANH(-2))/(1-TANH(-2))</f>
        <v>1.5756220119809856</v>
      </c>
      <c r="O181" s="83">
        <f>IF(N181=1,1+(I181-1)*H181*'Externe blootstelling'!$D$23/2,1+(I181-1)*(N181^(H181*'Externe blootstelling'!$D$23/2)-1)/(N181-1))</f>
        <v>2.7645425789134297</v>
      </c>
      <c r="P181" s="67">
        <f>G181*EXP(-H181*'Externe blootstelling'!$D$23/2)*O181</f>
        <v>2.143741015779118E-2</v>
      </c>
      <c r="Q181" s="68"/>
    </row>
    <row r="182" spans="1:17" x14ac:dyDescent="0.2">
      <c r="A182" s="217"/>
      <c r="B182" s="64" t="s">
        <v>104</v>
      </c>
      <c r="C182" s="66">
        <v>0.69686999999999999</v>
      </c>
      <c r="D182" s="66">
        <f t="shared" si="12"/>
        <v>1.114992E-13</v>
      </c>
      <c r="E182" s="66">
        <v>2.8999999999999997E-5</v>
      </c>
      <c r="F182" s="66">
        <f>_xlfn.IFNA(INDEX('hp (pSv cm2)'!$B$2:$B$52,MATCH($C182,'hp (pSv cm2)'!$A$2:$A$52,1))+($C182-INDEX('hp (pSv cm2)'!$A$2:$A$52,MATCH($C182,'hp (pSv cm2)'!$A$2:$A$52,1)))*(INDEX('hp (pSv cm2)'!$B$2:$B$52,MATCH($C182,'hp (pSv cm2)'!$A$2:$A$52,1)+1)-INDEX('hp (pSv cm2)'!$B$2:$B$52,MATCH($C182,'hp (pSv cm2)'!$A$2:$A$52,1)))/(INDEX('hp (pSv cm2)'!$A$2:$A$52,MATCH($C182,'hp (pSv cm2)'!$A$2:$A$52,1)+1)-INDEX('hp (pSv cm2)'!$A$2:$A$52,MATCH($C182,'hp (pSv cm2)'!$A$2:$A$52,1))),$C182*'hp (pSv cm2)'!$B$2/'hp (pSv cm2)'!$A$2)</f>
        <v>3.3071669999999997</v>
      </c>
      <c r="G182" s="67">
        <f t="shared" si="13"/>
        <v>9.5907842999999981E-5</v>
      </c>
      <c r="H182" s="83">
        <f>_xlfn.IFNA(0.997*(INDEX('Mass attenuation coefficients'!$B$2:$B$37,MATCH($C182,'Mass attenuation coefficients'!$A$2:$A$37,1))+($C182-INDEX('Mass attenuation coefficients'!$A$2:$A$37,MATCH($C182,'Mass attenuation coefficients'!$A$2:$A$37,1)))*(INDEX('Mass attenuation coefficients'!$B$2:$B$37,MATCH($C182,'Mass attenuation coefficients'!$A$2:$A$37,1)+1)-INDEX('Mass attenuation coefficients'!$B$2:$B$37,MATCH($C182,'Mass attenuation coefficients'!$A$2:$A$37,1)))/(INDEX('Mass attenuation coefficients'!$A$2:$A$37,MATCH($C182,'Mass attenuation coefficients'!$A$2:$A$37,1)+1)-INDEX('Mass attenuation coefficients'!$A$2:$A$37,MATCH($C182,'Mass attenuation coefficients'!$A$2:$A$37,1)))),0.997*$C182*'Mass attenuation coefficients'!$B$2/'Mass attenuation coefficients'!$A$2)</f>
        <v>8.4022914275500002E-2</v>
      </c>
      <c r="I182" s="83">
        <f>_xlfn.IFNA(INDEX('Shultis Faw'!$C$2:$C$26,MATCH($C182,'Shultis Faw'!$A$2:$A$26,1))+($C182-INDEX('Shultis Faw'!$A$2:$A$26,MATCH($C182,'Shultis Faw'!$A$2:$A$26,1)))*(INDEX('Shultis Faw'!$C$2:$C$26,MATCH($C182,'Shultis Faw'!$A$2:$A$26,1)+1)-INDEX('Shultis Faw'!$C$2:$C$26,MATCH($C182,'Shultis Faw'!$A$2:$A$26,1)))/(INDEX('Shultis Faw'!$A$2:$A$26,MATCH($C182,'Shultis Faw'!$A$2:$A$26,1)+1)-INDEX('Shultis Faw'!$A$2:$A$26,MATCH($C182,'Shultis Faw'!$A$2:$A$26,1))),$C182*'Shultis Faw'!$C$2/'Shultis Faw'!$A$2)</f>
        <v>2.2970822499999999</v>
      </c>
      <c r="J182" s="83">
        <f>_xlfn.IFNA(INDEX('Shultis Faw'!$D$2:$D$26,MATCH($C182,'Shultis Faw'!$A$2:$A$26,1))+($C182-INDEX('Shultis Faw'!$A$2:$A$26,MATCH($C182,'Shultis Faw'!$A$2:$A$26,1)))*(INDEX('Shultis Faw'!$D$2:$D$26,MATCH($C182,'Shultis Faw'!$A$2:$A$26,1)+1)-INDEX('Shultis Faw'!$D$2:$D$26,MATCH($C182,'Shultis Faw'!$A$2:$A$26,1)))/(INDEX('Shultis Faw'!$A$2:$A$26,MATCH($C182,'Shultis Faw'!$A$2:$A$26,1)+1)-INDEX('Shultis Faw'!$A$2:$A$26,MATCH($C182,'Shultis Faw'!$A$2:$A$26,1))),$C182*'Shultis Faw'!$D$2/'Shultis Faw'!$A$2)</f>
        <v>1.6136127500000002</v>
      </c>
      <c r="K182" s="83">
        <f>_xlfn.IFNA(INDEX('Shultis Faw'!$B$2:$B$26,MATCH($C182,'Shultis Faw'!$A$2:$A$26,1))+($C182-INDEX('Shultis Faw'!$A$2:$A$26,MATCH($C182,'Shultis Faw'!$A$2:$A$26,1)))*(INDEX('Shultis Faw'!$B$2:$B$26,MATCH($C182,'Shultis Faw'!$A$2:$A$26,1)+1)-INDEX('Shultis Faw'!$B$2:$B$26,MATCH($C182,'Shultis Faw'!$A$2:$A$26,1)))/(INDEX('Shultis Faw'!$A$2:$A$26,MATCH($C182,'Shultis Faw'!$A$2:$A$26,1)+1)-INDEX('Shultis Faw'!$A$2:$A$26,MATCH($C182,'Shultis Faw'!$A$2:$A$26,1))),$C182*'Shultis Faw'!$B$2/'Shultis Faw'!$A$2)</f>
        <v>-0.11479734999999999</v>
      </c>
      <c r="L182" s="83">
        <f>_xlfn.IFNA(INDEX('Shultis Faw'!$E$2:$E$26,MATCH($C182,'Shultis Faw'!$A$2:$A$26,1))+($C182-INDEX('Shultis Faw'!$A$2:$A$26,MATCH($C182,'Shultis Faw'!$A$2:$A$26,1)))*(INDEX('Shultis Faw'!$E$2:$E$26,MATCH($C182,'Shultis Faw'!$A$2:$A$26,1)+1)-INDEX('Shultis Faw'!$E$2:$E$26,MATCH($C182,'Shultis Faw'!$A$2:$A$26,1)))/(INDEX('Shultis Faw'!$A$2:$A$26,MATCH($C182,'Shultis Faw'!$A$2:$A$26,1)+1)-INDEX('Shultis Faw'!$A$2:$A$26,MATCH($C182,'Shultis Faw'!$A$2:$A$26,1))),$C182*'Shultis Faw'!$E$2/'Shultis Faw'!$A$2)</f>
        <v>4.7103289999999999E-2</v>
      </c>
      <c r="M182" s="83">
        <f>_xlfn.IFNA(INDEX('Shultis Faw'!$F$2:$F$26,MATCH($C182,'Shultis Faw'!$A$2:$A$26,1))+($C182-INDEX('Shultis Faw'!$A$2:$A$26,MATCH($C182,'Shultis Faw'!$A$2:$A$26,1)))*(INDEX('Shultis Faw'!$F$2:$F$26,MATCH($C182,'Shultis Faw'!$A$2:$A$26,1)+1)-INDEX('Shultis Faw'!$F$2:$F$26,MATCH($C182,'Shultis Faw'!$A$2:$A$26,1)))/(INDEX('Shultis Faw'!$A$2:$A$26,MATCH($C182,'Shultis Faw'!$A$2:$A$26,1)+1)-INDEX('Shultis Faw'!$A$2:$A$26,MATCH($C182,'Shultis Faw'!$A$2:$A$26,1))),$C182*'Shultis Faw'!$F$2/'Shultis Faw'!$A$2)</f>
        <v>14.292965499999999</v>
      </c>
      <c r="N182" s="83">
        <f>J182*(H182*'Externe blootstelling'!$D$23/2)^K182+L182*(TANH(((H182*'Externe blootstelling'!$D$23)/(2*M182))-2)-TANH(-2))/(1-TANH(-2))</f>
        <v>1.5714785187578046</v>
      </c>
      <c r="O182" s="83">
        <f>IF(N182=1,1+(I182-1)*H182*'Externe blootstelling'!$D$23/2,1+(I182-1)*(N182^(H182*'Externe blootstelling'!$D$23/2)-1)/(N182-1))</f>
        <v>2.7425150923320452</v>
      </c>
      <c r="P182" s="67">
        <f>G182*EXP(-H182*'Externe blootstelling'!$D$23/2)*O182</f>
        <v>7.4583511984107156E-5</v>
      </c>
      <c r="Q182" s="68"/>
    </row>
    <row r="183" spans="1:17" x14ac:dyDescent="0.2">
      <c r="A183" s="217"/>
      <c r="B183" s="64" t="s">
        <v>104</v>
      </c>
      <c r="C183" s="66">
        <v>0.70325000000000004</v>
      </c>
      <c r="D183" s="66">
        <f t="shared" si="12"/>
        <v>1.1252E-13</v>
      </c>
      <c r="E183" s="66">
        <v>5.3000000000000001E-5</v>
      </c>
      <c r="F183" s="66">
        <f>_xlfn.IFNA(INDEX('hp (pSv cm2)'!$B$2:$B$52,MATCH($C183,'hp (pSv cm2)'!$A$2:$A$52,1))+($C183-INDEX('hp (pSv cm2)'!$A$2:$A$52,MATCH($C183,'hp (pSv cm2)'!$A$2:$A$52,1)))*(INDEX('hp (pSv cm2)'!$B$2:$B$52,MATCH($C183,'hp (pSv cm2)'!$A$2:$A$52,1)+1)-INDEX('hp (pSv cm2)'!$B$2:$B$52,MATCH($C183,'hp (pSv cm2)'!$A$2:$A$52,1)))/(INDEX('hp (pSv cm2)'!$A$2:$A$52,MATCH($C183,'hp (pSv cm2)'!$A$2:$A$52,1)+1)-INDEX('hp (pSv cm2)'!$A$2:$A$52,MATCH($C183,'hp (pSv cm2)'!$A$2:$A$52,1))),$C183*'hp (pSv cm2)'!$B$2/'hp (pSv cm2)'!$A$2)</f>
        <v>3.3333250000000003</v>
      </c>
      <c r="G183" s="67">
        <f t="shared" si="13"/>
        <v>1.7666622500000001E-4</v>
      </c>
      <c r="H183" s="83">
        <f>_xlfn.IFNA(0.997*(INDEX('Mass attenuation coefficients'!$B$2:$B$37,MATCH($C183,'Mass attenuation coefficients'!$A$2:$A$37,1))+($C183-INDEX('Mass attenuation coefficients'!$A$2:$A$37,MATCH($C183,'Mass attenuation coefficients'!$A$2:$A$37,1)))*(INDEX('Mass attenuation coefficients'!$B$2:$B$37,MATCH($C183,'Mass attenuation coefficients'!$A$2:$A$37,1)+1)-INDEX('Mass attenuation coefficients'!$B$2:$B$37,MATCH($C183,'Mass attenuation coefficients'!$A$2:$A$37,1)))/(INDEX('Mass attenuation coefficients'!$A$2:$A$37,MATCH($C183,'Mass attenuation coefficients'!$A$2:$A$37,1)+1)-INDEX('Mass attenuation coefficients'!$A$2:$A$37,MATCH($C183,'Mass attenuation coefficients'!$A$2:$A$37,1)))),0.997*$C183*'Mass attenuation coefficients'!$B$2/'Mass attenuation coefficients'!$A$2)</f>
        <v>8.3675929362499998E-2</v>
      </c>
      <c r="I183" s="83">
        <f>_xlfn.IFNA(INDEX('Shultis Faw'!$C$2:$C$26,MATCH($C183,'Shultis Faw'!$A$2:$A$26,1))+($C183-INDEX('Shultis Faw'!$A$2:$A$26,MATCH($C183,'Shultis Faw'!$A$2:$A$26,1)))*(INDEX('Shultis Faw'!$C$2:$C$26,MATCH($C183,'Shultis Faw'!$A$2:$A$26,1)+1)-INDEX('Shultis Faw'!$C$2:$C$26,MATCH($C183,'Shultis Faw'!$A$2:$A$26,1)))/(INDEX('Shultis Faw'!$A$2:$A$26,MATCH($C183,'Shultis Faw'!$A$2:$A$26,1)+1)-INDEX('Shultis Faw'!$A$2:$A$26,MATCH($C183,'Shultis Faw'!$A$2:$A$26,1))),$C183*'Shultis Faw'!$C$2/'Shultis Faw'!$A$2)</f>
        <v>2.29181875</v>
      </c>
      <c r="J183" s="83">
        <f>_xlfn.IFNA(INDEX('Shultis Faw'!$D$2:$D$26,MATCH($C183,'Shultis Faw'!$A$2:$A$26,1))+($C183-INDEX('Shultis Faw'!$A$2:$A$26,MATCH($C183,'Shultis Faw'!$A$2:$A$26,1)))*(INDEX('Shultis Faw'!$D$2:$D$26,MATCH($C183,'Shultis Faw'!$A$2:$A$26,1)+1)-INDEX('Shultis Faw'!$D$2:$D$26,MATCH($C183,'Shultis Faw'!$A$2:$A$26,1)))/(INDEX('Shultis Faw'!$A$2:$A$26,MATCH($C183,'Shultis Faw'!$A$2:$A$26,1)+1)-INDEX('Shultis Faw'!$A$2:$A$26,MATCH($C183,'Shultis Faw'!$A$2:$A$26,1))),$C183*'Shultis Faw'!$D$2/'Shultis Faw'!$A$2)</f>
        <v>1.6093062499999999</v>
      </c>
      <c r="K183" s="83">
        <f>_xlfn.IFNA(INDEX('Shultis Faw'!$B$2:$B$26,MATCH($C183,'Shultis Faw'!$A$2:$A$26,1))+($C183-INDEX('Shultis Faw'!$A$2:$A$26,MATCH($C183,'Shultis Faw'!$A$2:$A$26,1)))*(INDEX('Shultis Faw'!$B$2:$B$26,MATCH($C183,'Shultis Faw'!$A$2:$A$26,1)+1)-INDEX('Shultis Faw'!$B$2:$B$26,MATCH($C183,'Shultis Faw'!$A$2:$A$26,1)))/(INDEX('Shultis Faw'!$A$2:$A$26,MATCH($C183,'Shultis Faw'!$A$2:$A$26,1)+1)-INDEX('Shultis Faw'!$A$2:$A$26,MATCH($C183,'Shultis Faw'!$A$2:$A$26,1))),$C183*'Shultis Faw'!$B$2/'Shultis Faw'!$A$2)</f>
        <v>-0.11419124999999999</v>
      </c>
      <c r="L183" s="83">
        <f>_xlfn.IFNA(INDEX('Shultis Faw'!$E$2:$E$26,MATCH($C183,'Shultis Faw'!$A$2:$A$26,1))+($C183-INDEX('Shultis Faw'!$A$2:$A$26,MATCH($C183,'Shultis Faw'!$A$2:$A$26,1)))*(INDEX('Shultis Faw'!$E$2:$E$26,MATCH($C183,'Shultis Faw'!$A$2:$A$26,1)+1)-INDEX('Shultis Faw'!$E$2:$E$26,MATCH($C183,'Shultis Faw'!$A$2:$A$26,1)))/(INDEX('Shultis Faw'!$A$2:$A$26,MATCH($C183,'Shultis Faw'!$A$2:$A$26,1)+1)-INDEX('Shultis Faw'!$A$2:$A$26,MATCH($C183,'Shultis Faw'!$A$2:$A$26,1))),$C183*'Shultis Faw'!$E$2/'Shultis Faw'!$A$2)</f>
        <v>4.6892749999999997E-2</v>
      </c>
      <c r="M183" s="83">
        <f>_xlfn.IFNA(INDEX('Shultis Faw'!$F$2:$F$26,MATCH($C183,'Shultis Faw'!$A$2:$A$26,1))+($C183-INDEX('Shultis Faw'!$A$2:$A$26,MATCH($C183,'Shultis Faw'!$A$2:$A$26,1)))*(INDEX('Shultis Faw'!$F$2:$F$26,MATCH($C183,'Shultis Faw'!$A$2:$A$26,1)+1)-INDEX('Shultis Faw'!$F$2:$F$26,MATCH($C183,'Shultis Faw'!$A$2:$A$26,1)))/(INDEX('Shultis Faw'!$A$2:$A$26,MATCH($C183,'Shultis Faw'!$A$2:$A$26,1)+1)-INDEX('Shultis Faw'!$A$2:$A$26,MATCH($C183,'Shultis Faw'!$A$2:$A$26,1))),$C183*'Shultis Faw'!$F$2/'Shultis Faw'!$A$2)</f>
        <v>14.297112500000001</v>
      </c>
      <c r="N183" s="83">
        <f>J183*(H183*'Externe blootstelling'!$D$23/2)^K183+L183*(TANH(((H183*'Externe blootstelling'!$D$23)/(2*M183))-2)-TANH(-2))/(1-TANH(-2))</f>
        <v>1.5682440053037083</v>
      </c>
      <c r="O183" s="83">
        <f>IF(N183=1,1+(I183-1)*H183*'Externe blootstelling'!$D$23/2,1+(I183-1)*(N183^(H183*'Externe blootstelling'!$D$23/2)-1)/(N183-1))</f>
        <v>2.7255242559961101</v>
      </c>
      <c r="P183" s="67">
        <f>G183*EXP(-H183*'Externe blootstelling'!$D$23/2)*O183</f>
        <v>1.3724725422872605E-4</v>
      </c>
      <c r="Q183" s="68"/>
    </row>
    <row r="184" spans="1:17" x14ac:dyDescent="0.2">
      <c r="A184" s="217"/>
      <c r="B184" s="64" t="s">
        <v>104</v>
      </c>
      <c r="C184" s="66">
        <v>0.712843</v>
      </c>
      <c r="D184" s="66">
        <f t="shared" si="12"/>
        <v>1.1405487999999998E-13</v>
      </c>
      <c r="E184" s="66">
        <v>9.6100000000000005E-4</v>
      </c>
      <c r="F184" s="66">
        <f>_xlfn.IFNA(INDEX('hp (pSv cm2)'!$B$2:$B$52,MATCH($C184,'hp (pSv cm2)'!$A$2:$A$52,1))+($C184-INDEX('hp (pSv cm2)'!$A$2:$A$52,MATCH($C184,'hp (pSv cm2)'!$A$2:$A$52,1)))*(INDEX('hp (pSv cm2)'!$B$2:$B$52,MATCH($C184,'hp (pSv cm2)'!$A$2:$A$52,1)+1)-INDEX('hp (pSv cm2)'!$B$2:$B$52,MATCH($C184,'hp (pSv cm2)'!$A$2:$A$52,1)))/(INDEX('hp (pSv cm2)'!$A$2:$A$52,MATCH($C184,'hp (pSv cm2)'!$A$2:$A$52,1)+1)-INDEX('hp (pSv cm2)'!$A$2:$A$52,MATCH($C184,'hp (pSv cm2)'!$A$2:$A$52,1))),$C184*'hp (pSv cm2)'!$B$2/'hp (pSv cm2)'!$A$2)</f>
        <v>3.3726563000000001</v>
      </c>
      <c r="G184" s="67">
        <f t="shared" si="13"/>
        <v>3.2411227043000002E-3</v>
      </c>
      <c r="H184" s="83">
        <f>_xlfn.IFNA(0.997*(INDEX('Mass attenuation coefficients'!$B$2:$B$37,MATCH($C184,'Mass attenuation coefficients'!$A$2:$A$37,1))+($C184-INDEX('Mass attenuation coefficients'!$A$2:$A$37,MATCH($C184,'Mass attenuation coefficients'!$A$2:$A$37,1)))*(INDEX('Mass attenuation coefficients'!$B$2:$B$37,MATCH($C184,'Mass attenuation coefficients'!$A$2:$A$37,1)+1)-INDEX('Mass attenuation coefficients'!$B$2:$B$37,MATCH($C184,'Mass attenuation coefficients'!$A$2:$A$37,1)))/(INDEX('Mass attenuation coefficients'!$A$2:$A$37,MATCH($C184,'Mass attenuation coefficients'!$A$2:$A$37,1)+1)-INDEX('Mass attenuation coefficients'!$A$2:$A$37,MATCH($C184,'Mass attenuation coefficients'!$A$2:$A$37,1)))),0.997*$C184*'Mass attenuation coefficients'!$B$2/'Mass attenuation coefficients'!$A$2)</f>
        <v>8.3154201106950001E-2</v>
      </c>
      <c r="I184" s="83">
        <f>_xlfn.IFNA(INDEX('Shultis Faw'!$C$2:$C$26,MATCH($C184,'Shultis Faw'!$A$2:$A$26,1))+($C184-INDEX('Shultis Faw'!$A$2:$A$26,MATCH($C184,'Shultis Faw'!$A$2:$A$26,1)))*(INDEX('Shultis Faw'!$C$2:$C$26,MATCH($C184,'Shultis Faw'!$A$2:$A$26,1)+1)-INDEX('Shultis Faw'!$C$2:$C$26,MATCH($C184,'Shultis Faw'!$A$2:$A$26,1)))/(INDEX('Shultis Faw'!$A$2:$A$26,MATCH($C184,'Shultis Faw'!$A$2:$A$26,1)+1)-INDEX('Shultis Faw'!$A$2:$A$26,MATCH($C184,'Shultis Faw'!$A$2:$A$26,1))),$C184*'Shultis Faw'!$C$2/'Shultis Faw'!$A$2)</f>
        <v>2.2839045250000001</v>
      </c>
      <c r="J184" s="83">
        <f>_xlfn.IFNA(INDEX('Shultis Faw'!$D$2:$D$26,MATCH($C184,'Shultis Faw'!$A$2:$A$26,1))+($C184-INDEX('Shultis Faw'!$A$2:$A$26,MATCH($C184,'Shultis Faw'!$A$2:$A$26,1)))*(INDEX('Shultis Faw'!$D$2:$D$26,MATCH($C184,'Shultis Faw'!$A$2:$A$26,1)+1)-INDEX('Shultis Faw'!$D$2:$D$26,MATCH($C184,'Shultis Faw'!$A$2:$A$26,1)))/(INDEX('Shultis Faw'!$A$2:$A$26,MATCH($C184,'Shultis Faw'!$A$2:$A$26,1)+1)-INDEX('Shultis Faw'!$A$2:$A$26,MATCH($C184,'Shultis Faw'!$A$2:$A$26,1))),$C184*'Shultis Faw'!$D$2/'Shultis Faw'!$A$2)</f>
        <v>1.602830975</v>
      </c>
      <c r="K184" s="83">
        <f>_xlfn.IFNA(INDEX('Shultis Faw'!$B$2:$B$26,MATCH($C184,'Shultis Faw'!$A$2:$A$26,1))+($C184-INDEX('Shultis Faw'!$A$2:$A$26,MATCH($C184,'Shultis Faw'!$A$2:$A$26,1)))*(INDEX('Shultis Faw'!$B$2:$B$26,MATCH($C184,'Shultis Faw'!$A$2:$A$26,1)+1)-INDEX('Shultis Faw'!$B$2:$B$26,MATCH($C184,'Shultis Faw'!$A$2:$A$26,1)))/(INDEX('Shultis Faw'!$A$2:$A$26,MATCH($C184,'Shultis Faw'!$A$2:$A$26,1)+1)-INDEX('Shultis Faw'!$A$2:$A$26,MATCH($C184,'Shultis Faw'!$A$2:$A$26,1))),$C184*'Shultis Faw'!$B$2/'Shultis Faw'!$A$2)</f>
        <v>-0.11327991499999999</v>
      </c>
      <c r="L184" s="83">
        <f>_xlfn.IFNA(INDEX('Shultis Faw'!$E$2:$E$26,MATCH($C184,'Shultis Faw'!$A$2:$A$26,1))+($C184-INDEX('Shultis Faw'!$A$2:$A$26,MATCH($C184,'Shultis Faw'!$A$2:$A$26,1)))*(INDEX('Shultis Faw'!$E$2:$E$26,MATCH($C184,'Shultis Faw'!$A$2:$A$26,1)+1)-INDEX('Shultis Faw'!$E$2:$E$26,MATCH($C184,'Shultis Faw'!$A$2:$A$26,1)))/(INDEX('Shultis Faw'!$A$2:$A$26,MATCH($C184,'Shultis Faw'!$A$2:$A$26,1)+1)-INDEX('Shultis Faw'!$A$2:$A$26,MATCH($C184,'Shultis Faw'!$A$2:$A$26,1))),$C184*'Shultis Faw'!$E$2/'Shultis Faw'!$A$2)</f>
        <v>4.6576181000000001E-2</v>
      </c>
      <c r="M184" s="83">
        <f>_xlfn.IFNA(INDEX('Shultis Faw'!$F$2:$F$26,MATCH($C184,'Shultis Faw'!$A$2:$A$26,1))+($C184-INDEX('Shultis Faw'!$A$2:$A$26,MATCH($C184,'Shultis Faw'!$A$2:$A$26,1)))*(INDEX('Shultis Faw'!$F$2:$F$26,MATCH($C184,'Shultis Faw'!$A$2:$A$26,1)+1)-INDEX('Shultis Faw'!$F$2:$F$26,MATCH($C184,'Shultis Faw'!$A$2:$A$26,1)))/(INDEX('Shultis Faw'!$A$2:$A$26,MATCH($C184,'Shultis Faw'!$A$2:$A$26,1)+1)-INDEX('Shultis Faw'!$A$2:$A$26,MATCH($C184,'Shultis Faw'!$A$2:$A$26,1))),$C184*'Shultis Faw'!$F$2/'Shultis Faw'!$A$2)</f>
        <v>14.303347949999999</v>
      </c>
      <c r="N184" s="83">
        <f>J184*(H184*'Externe blootstelling'!$D$23/2)^K184+L184*(TANH(((H184*'Externe blootstelling'!$D$23)/(2*M184))-2)-TANH(-2))/(1-TANH(-2))</f>
        <v>1.5633629968389082</v>
      </c>
      <c r="O184" s="83">
        <f>IF(N184=1,1+(I184-1)*H184*'Externe blootstelling'!$D$23/2,1+(I184-1)*(N184^(H184*'Externe blootstelling'!$D$23/2)-1)/(N184-1))</f>
        <v>2.7002178133265748</v>
      </c>
      <c r="P184" s="67">
        <f>G184*EXP(-H184*'Externe blootstelling'!$D$23/2)*O184</f>
        <v>2.5141611476414381E-3</v>
      </c>
      <c r="Q184" s="68"/>
    </row>
    <row r="185" spans="1:17" x14ac:dyDescent="0.2">
      <c r="A185" s="217"/>
      <c r="B185" s="64" t="s">
        <v>104</v>
      </c>
      <c r="C185" s="66">
        <v>0.71934900000000002</v>
      </c>
      <c r="D185" s="66">
        <f t="shared" si="12"/>
        <v>1.1509584E-13</v>
      </c>
      <c r="E185" s="66">
        <v>3.2700000000000003E-3</v>
      </c>
      <c r="F185" s="66">
        <f>_xlfn.IFNA(INDEX('hp (pSv cm2)'!$B$2:$B$52,MATCH($C185,'hp (pSv cm2)'!$A$2:$A$52,1))+($C185-INDEX('hp (pSv cm2)'!$A$2:$A$52,MATCH($C185,'hp (pSv cm2)'!$A$2:$A$52,1)))*(INDEX('hp (pSv cm2)'!$B$2:$B$52,MATCH($C185,'hp (pSv cm2)'!$A$2:$A$52,1)+1)-INDEX('hp (pSv cm2)'!$B$2:$B$52,MATCH($C185,'hp (pSv cm2)'!$A$2:$A$52,1)))/(INDEX('hp (pSv cm2)'!$A$2:$A$52,MATCH($C185,'hp (pSv cm2)'!$A$2:$A$52,1)+1)-INDEX('hp (pSv cm2)'!$A$2:$A$52,MATCH($C185,'hp (pSv cm2)'!$A$2:$A$52,1))),$C185*'hp (pSv cm2)'!$B$2/'hp (pSv cm2)'!$A$2)</f>
        <v>3.3993308999999998</v>
      </c>
      <c r="G185" s="67">
        <f t="shared" si="13"/>
        <v>1.1115812043E-2</v>
      </c>
      <c r="H185" s="83">
        <f>_xlfn.IFNA(0.997*(INDEX('Mass attenuation coefficients'!$B$2:$B$37,MATCH($C185,'Mass attenuation coefficients'!$A$2:$A$37,1))+($C185-INDEX('Mass attenuation coefficients'!$A$2:$A$37,MATCH($C185,'Mass attenuation coefficients'!$A$2:$A$37,1)))*(INDEX('Mass attenuation coefficients'!$B$2:$B$37,MATCH($C185,'Mass attenuation coefficients'!$A$2:$A$37,1)+1)-INDEX('Mass attenuation coefficients'!$B$2:$B$37,MATCH($C185,'Mass attenuation coefficients'!$A$2:$A$37,1)))/(INDEX('Mass attenuation coefficients'!$A$2:$A$37,MATCH($C185,'Mass attenuation coefficients'!$A$2:$A$37,1)+1)-INDEX('Mass attenuation coefficients'!$A$2:$A$37,MATCH($C185,'Mass attenuation coefficients'!$A$2:$A$37,1)))),0.997*$C185*'Mass attenuation coefficients'!$B$2/'Mass attenuation coefficients'!$A$2)</f>
        <v>8.2800363513849992E-2</v>
      </c>
      <c r="I185" s="83">
        <f>_xlfn.IFNA(INDEX('Shultis Faw'!$C$2:$C$26,MATCH($C185,'Shultis Faw'!$A$2:$A$26,1))+($C185-INDEX('Shultis Faw'!$A$2:$A$26,MATCH($C185,'Shultis Faw'!$A$2:$A$26,1)))*(INDEX('Shultis Faw'!$C$2:$C$26,MATCH($C185,'Shultis Faw'!$A$2:$A$26,1)+1)-INDEX('Shultis Faw'!$C$2:$C$26,MATCH($C185,'Shultis Faw'!$A$2:$A$26,1)))/(INDEX('Shultis Faw'!$A$2:$A$26,MATCH($C185,'Shultis Faw'!$A$2:$A$26,1)+1)-INDEX('Shultis Faw'!$A$2:$A$26,MATCH($C185,'Shultis Faw'!$A$2:$A$26,1))),$C185*'Shultis Faw'!$C$2/'Shultis Faw'!$A$2)</f>
        <v>2.278537075</v>
      </c>
      <c r="J185" s="83">
        <f>_xlfn.IFNA(INDEX('Shultis Faw'!$D$2:$D$26,MATCH($C185,'Shultis Faw'!$A$2:$A$26,1))+($C185-INDEX('Shultis Faw'!$A$2:$A$26,MATCH($C185,'Shultis Faw'!$A$2:$A$26,1)))*(INDEX('Shultis Faw'!$D$2:$D$26,MATCH($C185,'Shultis Faw'!$A$2:$A$26,1)+1)-INDEX('Shultis Faw'!$D$2:$D$26,MATCH($C185,'Shultis Faw'!$A$2:$A$26,1)))/(INDEX('Shultis Faw'!$A$2:$A$26,MATCH($C185,'Shultis Faw'!$A$2:$A$26,1)+1)-INDEX('Shultis Faw'!$A$2:$A$26,MATCH($C185,'Shultis Faw'!$A$2:$A$26,1))),$C185*'Shultis Faw'!$D$2/'Shultis Faw'!$A$2)</f>
        <v>1.598439425</v>
      </c>
      <c r="K185" s="83">
        <f>_xlfn.IFNA(INDEX('Shultis Faw'!$B$2:$B$26,MATCH($C185,'Shultis Faw'!$A$2:$A$26,1))+($C185-INDEX('Shultis Faw'!$A$2:$A$26,MATCH($C185,'Shultis Faw'!$A$2:$A$26,1)))*(INDEX('Shultis Faw'!$B$2:$B$26,MATCH($C185,'Shultis Faw'!$A$2:$A$26,1)+1)-INDEX('Shultis Faw'!$B$2:$B$26,MATCH($C185,'Shultis Faw'!$A$2:$A$26,1)))/(INDEX('Shultis Faw'!$A$2:$A$26,MATCH($C185,'Shultis Faw'!$A$2:$A$26,1)+1)-INDEX('Shultis Faw'!$A$2:$A$26,MATCH($C185,'Shultis Faw'!$A$2:$A$26,1))),$C185*'Shultis Faw'!$B$2/'Shultis Faw'!$A$2)</f>
        <v>-0.112661845</v>
      </c>
      <c r="L185" s="83">
        <f>_xlfn.IFNA(INDEX('Shultis Faw'!$E$2:$E$26,MATCH($C185,'Shultis Faw'!$A$2:$A$26,1))+($C185-INDEX('Shultis Faw'!$A$2:$A$26,MATCH($C185,'Shultis Faw'!$A$2:$A$26,1)))*(INDEX('Shultis Faw'!$E$2:$E$26,MATCH($C185,'Shultis Faw'!$A$2:$A$26,1)+1)-INDEX('Shultis Faw'!$E$2:$E$26,MATCH($C185,'Shultis Faw'!$A$2:$A$26,1)))/(INDEX('Shultis Faw'!$A$2:$A$26,MATCH($C185,'Shultis Faw'!$A$2:$A$26,1)+1)-INDEX('Shultis Faw'!$A$2:$A$26,MATCH($C185,'Shultis Faw'!$A$2:$A$26,1))),$C185*'Shultis Faw'!$E$2/'Shultis Faw'!$A$2)</f>
        <v>4.6361483000000002E-2</v>
      </c>
      <c r="M185" s="83">
        <f>_xlfn.IFNA(INDEX('Shultis Faw'!$F$2:$F$26,MATCH($C185,'Shultis Faw'!$A$2:$A$26,1))+($C185-INDEX('Shultis Faw'!$A$2:$A$26,MATCH($C185,'Shultis Faw'!$A$2:$A$26,1)))*(INDEX('Shultis Faw'!$F$2:$F$26,MATCH($C185,'Shultis Faw'!$A$2:$A$26,1)+1)-INDEX('Shultis Faw'!$F$2:$F$26,MATCH($C185,'Shultis Faw'!$A$2:$A$26,1)))/(INDEX('Shultis Faw'!$A$2:$A$26,MATCH($C185,'Shultis Faw'!$A$2:$A$26,1)+1)-INDEX('Shultis Faw'!$A$2:$A$26,MATCH($C185,'Shultis Faw'!$A$2:$A$26,1))),$C185*'Shultis Faw'!$F$2/'Shultis Faw'!$A$2)</f>
        <v>14.30757685</v>
      </c>
      <c r="N185" s="83">
        <f>J185*(H185*'Externe blootstelling'!$D$23/2)^K185+L185*(TANH(((H185*'Externe blootstelling'!$D$23)/(2*M185))-2)-TANH(-2))/(1-TANH(-2))</f>
        <v>1.5600406705711087</v>
      </c>
      <c r="O185" s="83">
        <f>IF(N185=1,1+(I185-1)*H185*'Externe blootstelling'!$D$23/2,1+(I185-1)*(N185^(H185*'Externe blootstelling'!$D$23/2)-1)/(N185-1))</f>
        <v>2.6832183613280378</v>
      </c>
      <c r="P185" s="67">
        <f>G185*EXP(-H185*'Externe blootstelling'!$D$23/2)*O185</f>
        <v>8.6139252208280795E-3</v>
      </c>
      <c r="Q185" s="68"/>
    </row>
    <row r="186" spans="1:17" x14ac:dyDescent="0.2">
      <c r="A186" s="217"/>
      <c r="B186" s="64" t="s">
        <v>104</v>
      </c>
      <c r="C186" s="66">
        <v>0.72799000000000003</v>
      </c>
      <c r="D186" s="66">
        <f t="shared" si="12"/>
        <v>1.1647839999999998E-13</v>
      </c>
      <c r="E186" s="66">
        <v>1.06E-4</v>
      </c>
      <c r="F186" s="66">
        <f>_xlfn.IFNA(INDEX('hp (pSv cm2)'!$B$2:$B$52,MATCH($C186,'hp (pSv cm2)'!$A$2:$A$52,1))+($C186-INDEX('hp (pSv cm2)'!$A$2:$A$52,MATCH($C186,'hp (pSv cm2)'!$A$2:$A$52,1)))*(INDEX('hp (pSv cm2)'!$B$2:$B$52,MATCH($C186,'hp (pSv cm2)'!$A$2:$A$52,1)+1)-INDEX('hp (pSv cm2)'!$B$2:$B$52,MATCH($C186,'hp (pSv cm2)'!$A$2:$A$52,1)))/(INDEX('hp (pSv cm2)'!$A$2:$A$52,MATCH($C186,'hp (pSv cm2)'!$A$2:$A$52,1)+1)-INDEX('hp (pSv cm2)'!$A$2:$A$52,MATCH($C186,'hp (pSv cm2)'!$A$2:$A$52,1))),$C186*'hp (pSv cm2)'!$B$2/'hp (pSv cm2)'!$A$2)</f>
        <v>3.4347590000000001</v>
      </c>
      <c r="G186" s="67">
        <f t="shared" si="13"/>
        <v>3.6408445400000001E-4</v>
      </c>
      <c r="H186" s="83">
        <f>_xlfn.IFNA(0.997*(INDEX('Mass attenuation coefficients'!$B$2:$B$37,MATCH($C186,'Mass attenuation coefficients'!$A$2:$A$37,1))+($C186-INDEX('Mass attenuation coefficients'!$A$2:$A$37,MATCH($C186,'Mass attenuation coefficients'!$A$2:$A$37,1)))*(INDEX('Mass attenuation coefficients'!$B$2:$B$37,MATCH($C186,'Mass attenuation coefficients'!$A$2:$A$37,1)+1)-INDEX('Mass attenuation coefficients'!$B$2:$B$37,MATCH($C186,'Mass attenuation coefficients'!$A$2:$A$37,1)))/(INDEX('Mass attenuation coefficients'!$A$2:$A$37,MATCH($C186,'Mass attenuation coefficients'!$A$2:$A$37,1)+1)-INDEX('Mass attenuation coefficients'!$A$2:$A$37,MATCH($C186,'Mass attenuation coefficients'!$A$2:$A$37,1)))),0.997*$C186*'Mass attenuation coefficients'!$B$2/'Mass attenuation coefficients'!$A$2)</f>
        <v>8.2330411063500003E-2</v>
      </c>
      <c r="I186" s="83">
        <f>_xlfn.IFNA(INDEX('Shultis Faw'!$C$2:$C$26,MATCH($C186,'Shultis Faw'!$A$2:$A$26,1))+($C186-INDEX('Shultis Faw'!$A$2:$A$26,MATCH($C186,'Shultis Faw'!$A$2:$A$26,1)))*(INDEX('Shultis Faw'!$C$2:$C$26,MATCH($C186,'Shultis Faw'!$A$2:$A$26,1)+1)-INDEX('Shultis Faw'!$C$2:$C$26,MATCH($C186,'Shultis Faw'!$A$2:$A$26,1)))/(INDEX('Shultis Faw'!$A$2:$A$26,MATCH($C186,'Shultis Faw'!$A$2:$A$26,1)+1)-INDEX('Shultis Faw'!$A$2:$A$26,MATCH($C186,'Shultis Faw'!$A$2:$A$26,1))),$C186*'Shultis Faw'!$C$2/'Shultis Faw'!$A$2)</f>
        <v>2.2714082499999999</v>
      </c>
      <c r="J186" s="83">
        <f>_xlfn.IFNA(INDEX('Shultis Faw'!$D$2:$D$26,MATCH($C186,'Shultis Faw'!$A$2:$A$26,1))+($C186-INDEX('Shultis Faw'!$A$2:$A$26,MATCH($C186,'Shultis Faw'!$A$2:$A$26,1)))*(INDEX('Shultis Faw'!$D$2:$D$26,MATCH($C186,'Shultis Faw'!$A$2:$A$26,1)+1)-INDEX('Shultis Faw'!$D$2:$D$26,MATCH($C186,'Shultis Faw'!$A$2:$A$26,1)))/(INDEX('Shultis Faw'!$A$2:$A$26,MATCH($C186,'Shultis Faw'!$A$2:$A$26,1)+1)-INDEX('Shultis Faw'!$A$2:$A$26,MATCH($C186,'Shultis Faw'!$A$2:$A$26,1))),$C186*'Shultis Faw'!$D$2/'Shultis Faw'!$A$2)</f>
        <v>1.5926067500000001</v>
      </c>
      <c r="K186" s="83">
        <f>_xlfn.IFNA(INDEX('Shultis Faw'!$B$2:$B$26,MATCH($C186,'Shultis Faw'!$A$2:$A$26,1))+($C186-INDEX('Shultis Faw'!$A$2:$A$26,MATCH($C186,'Shultis Faw'!$A$2:$A$26,1)))*(INDEX('Shultis Faw'!$B$2:$B$26,MATCH($C186,'Shultis Faw'!$A$2:$A$26,1)+1)-INDEX('Shultis Faw'!$B$2:$B$26,MATCH($C186,'Shultis Faw'!$A$2:$A$26,1)))/(INDEX('Shultis Faw'!$A$2:$A$26,MATCH($C186,'Shultis Faw'!$A$2:$A$26,1)+1)-INDEX('Shultis Faw'!$A$2:$A$26,MATCH($C186,'Shultis Faw'!$A$2:$A$26,1))),$C186*'Shultis Faw'!$B$2/'Shultis Faw'!$A$2)</f>
        <v>-0.11184094999999999</v>
      </c>
      <c r="L186" s="83">
        <f>_xlfn.IFNA(INDEX('Shultis Faw'!$E$2:$E$26,MATCH($C186,'Shultis Faw'!$A$2:$A$26,1))+($C186-INDEX('Shultis Faw'!$A$2:$A$26,MATCH($C186,'Shultis Faw'!$A$2:$A$26,1)))*(INDEX('Shultis Faw'!$E$2:$E$26,MATCH($C186,'Shultis Faw'!$A$2:$A$26,1)+1)-INDEX('Shultis Faw'!$E$2:$E$26,MATCH($C186,'Shultis Faw'!$A$2:$A$26,1)))/(INDEX('Shultis Faw'!$A$2:$A$26,MATCH($C186,'Shultis Faw'!$A$2:$A$26,1)+1)-INDEX('Shultis Faw'!$A$2:$A$26,MATCH($C186,'Shultis Faw'!$A$2:$A$26,1))),$C186*'Shultis Faw'!$E$2/'Shultis Faw'!$A$2)</f>
        <v>4.6076329999999999E-2</v>
      </c>
      <c r="M186" s="83">
        <f>_xlfn.IFNA(INDEX('Shultis Faw'!$F$2:$F$26,MATCH($C186,'Shultis Faw'!$A$2:$A$26,1))+($C186-INDEX('Shultis Faw'!$A$2:$A$26,MATCH($C186,'Shultis Faw'!$A$2:$A$26,1)))*(INDEX('Shultis Faw'!$F$2:$F$26,MATCH($C186,'Shultis Faw'!$A$2:$A$26,1)+1)-INDEX('Shultis Faw'!$F$2:$F$26,MATCH($C186,'Shultis Faw'!$A$2:$A$26,1)))/(INDEX('Shultis Faw'!$A$2:$A$26,MATCH($C186,'Shultis Faw'!$A$2:$A$26,1)+1)-INDEX('Shultis Faw'!$A$2:$A$26,MATCH($C186,'Shultis Faw'!$A$2:$A$26,1))),$C186*'Shultis Faw'!$F$2/'Shultis Faw'!$A$2)</f>
        <v>14.313193500000001</v>
      </c>
      <c r="N186" s="83">
        <f>J186*(H186*'Externe blootstelling'!$D$23/2)^K186+L186*(TANH(((H186*'Externe blootstelling'!$D$23)/(2*M186))-2)-TANH(-2))/(1-TANH(-2))</f>
        <v>1.555613087714341</v>
      </c>
      <c r="O186" s="83">
        <f>IF(N186=1,1+(I186-1)*H186*'Externe blootstelling'!$D$23/2,1+(I186-1)*(N186^(H186*'Externe blootstelling'!$D$23/2)-1)/(N186-1))</f>
        <v>2.6608428274099198</v>
      </c>
      <c r="P186" s="67">
        <f>G186*EXP(-H186*'Externe blootstelling'!$D$23/2)*O186</f>
        <v>2.8176478193730093E-4</v>
      </c>
      <c r="Q186" s="68"/>
    </row>
    <row r="187" spans="1:17" x14ac:dyDescent="0.2">
      <c r="A187" s="217"/>
      <c r="B187" s="64" t="s">
        <v>104</v>
      </c>
      <c r="C187" s="66">
        <v>0.73539999999999994</v>
      </c>
      <c r="D187" s="66">
        <f t="shared" si="12"/>
        <v>1.1766399999999999E-13</v>
      </c>
      <c r="E187" s="66">
        <v>5.7999999999999994E-5</v>
      </c>
      <c r="F187" s="66">
        <f>_xlfn.IFNA(INDEX('hp (pSv cm2)'!$B$2:$B$52,MATCH($C187,'hp (pSv cm2)'!$A$2:$A$52,1))+($C187-INDEX('hp (pSv cm2)'!$A$2:$A$52,MATCH($C187,'hp (pSv cm2)'!$A$2:$A$52,1)))*(INDEX('hp (pSv cm2)'!$B$2:$B$52,MATCH($C187,'hp (pSv cm2)'!$A$2:$A$52,1)+1)-INDEX('hp (pSv cm2)'!$B$2:$B$52,MATCH($C187,'hp (pSv cm2)'!$A$2:$A$52,1)))/(INDEX('hp (pSv cm2)'!$A$2:$A$52,MATCH($C187,'hp (pSv cm2)'!$A$2:$A$52,1)+1)-INDEX('hp (pSv cm2)'!$A$2:$A$52,MATCH($C187,'hp (pSv cm2)'!$A$2:$A$52,1))),$C187*'hp (pSv cm2)'!$B$2/'hp (pSv cm2)'!$A$2)</f>
        <v>3.4651399999999999</v>
      </c>
      <c r="G187" s="67">
        <f t="shared" si="13"/>
        <v>2.0097811999999997E-4</v>
      </c>
      <c r="H187" s="83">
        <f>_xlfn.IFNA(0.997*(INDEX('Mass attenuation coefficients'!$B$2:$B$37,MATCH($C187,'Mass attenuation coefficients'!$A$2:$A$37,1))+($C187-INDEX('Mass attenuation coefficients'!$A$2:$A$37,MATCH($C187,'Mass attenuation coefficients'!$A$2:$A$37,1)))*(INDEX('Mass attenuation coefficients'!$B$2:$B$37,MATCH($C187,'Mass attenuation coefficients'!$A$2:$A$37,1)+1)-INDEX('Mass attenuation coefficients'!$B$2:$B$37,MATCH($C187,'Mass attenuation coefficients'!$A$2:$A$37,1)))/(INDEX('Mass attenuation coefficients'!$A$2:$A$37,MATCH($C187,'Mass attenuation coefficients'!$A$2:$A$37,1)+1)-INDEX('Mass attenuation coefficients'!$A$2:$A$37,MATCH($C187,'Mass attenuation coefficients'!$A$2:$A$37,1)))),0.997*$C187*'Mass attenuation coefficients'!$B$2/'Mass attenuation coefficients'!$A$2)</f>
        <v>8.1927408210000011E-2</v>
      </c>
      <c r="I187" s="83">
        <f>_xlfn.IFNA(INDEX('Shultis Faw'!$C$2:$C$26,MATCH($C187,'Shultis Faw'!$A$2:$A$26,1))+($C187-INDEX('Shultis Faw'!$A$2:$A$26,MATCH($C187,'Shultis Faw'!$A$2:$A$26,1)))*(INDEX('Shultis Faw'!$C$2:$C$26,MATCH($C187,'Shultis Faw'!$A$2:$A$26,1)+1)-INDEX('Shultis Faw'!$C$2:$C$26,MATCH($C187,'Shultis Faw'!$A$2:$A$26,1)))/(INDEX('Shultis Faw'!$A$2:$A$26,MATCH($C187,'Shultis Faw'!$A$2:$A$26,1)+1)-INDEX('Shultis Faw'!$A$2:$A$26,MATCH($C187,'Shultis Faw'!$A$2:$A$26,1))),$C187*'Shultis Faw'!$C$2/'Shultis Faw'!$A$2)</f>
        <v>2.2652950000000001</v>
      </c>
      <c r="J187" s="83">
        <f>_xlfn.IFNA(INDEX('Shultis Faw'!$D$2:$D$26,MATCH($C187,'Shultis Faw'!$A$2:$A$26,1))+($C187-INDEX('Shultis Faw'!$A$2:$A$26,MATCH($C187,'Shultis Faw'!$A$2:$A$26,1)))*(INDEX('Shultis Faw'!$D$2:$D$26,MATCH($C187,'Shultis Faw'!$A$2:$A$26,1)+1)-INDEX('Shultis Faw'!$D$2:$D$26,MATCH($C187,'Shultis Faw'!$A$2:$A$26,1)))/(INDEX('Shultis Faw'!$A$2:$A$26,MATCH($C187,'Shultis Faw'!$A$2:$A$26,1)+1)-INDEX('Shultis Faw'!$A$2:$A$26,MATCH($C187,'Shultis Faw'!$A$2:$A$26,1))),$C187*'Shultis Faw'!$D$2/'Shultis Faw'!$A$2)</f>
        <v>1.5876050000000002</v>
      </c>
      <c r="K187" s="83">
        <f>_xlfn.IFNA(INDEX('Shultis Faw'!$B$2:$B$26,MATCH($C187,'Shultis Faw'!$A$2:$A$26,1))+($C187-INDEX('Shultis Faw'!$A$2:$A$26,MATCH($C187,'Shultis Faw'!$A$2:$A$26,1)))*(INDEX('Shultis Faw'!$B$2:$B$26,MATCH($C187,'Shultis Faw'!$A$2:$A$26,1)+1)-INDEX('Shultis Faw'!$B$2:$B$26,MATCH($C187,'Shultis Faw'!$A$2:$A$26,1)))/(INDEX('Shultis Faw'!$A$2:$A$26,MATCH($C187,'Shultis Faw'!$A$2:$A$26,1)+1)-INDEX('Shultis Faw'!$A$2:$A$26,MATCH($C187,'Shultis Faw'!$A$2:$A$26,1))),$C187*'Shultis Faw'!$B$2/'Shultis Faw'!$A$2)</f>
        <v>-0.111137</v>
      </c>
      <c r="L187" s="83">
        <f>_xlfn.IFNA(INDEX('Shultis Faw'!$E$2:$E$26,MATCH($C187,'Shultis Faw'!$A$2:$A$26,1))+($C187-INDEX('Shultis Faw'!$A$2:$A$26,MATCH($C187,'Shultis Faw'!$A$2:$A$26,1)))*(INDEX('Shultis Faw'!$E$2:$E$26,MATCH($C187,'Shultis Faw'!$A$2:$A$26,1)+1)-INDEX('Shultis Faw'!$E$2:$E$26,MATCH($C187,'Shultis Faw'!$A$2:$A$26,1)))/(INDEX('Shultis Faw'!$A$2:$A$26,MATCH($C187,'Shultis Faw'!$A$2:$A$26,1)+1)-INDEX('Shultis Faw'!$A$2:$A$26,MATCH($C187,'Shultis Faw'!$A$2:$A$26,1))),$C187*'Shultis Faw'!$E$2/'Shultis Faw'!$A$2)</f>
        <v>4.5831800000000006E-2</v>
      </c>
      <c r="M187" s="83">
        <f>_xlfn.IFNA(INDEX('Shultis Faw'!$F$2:$F$26,MATCH($C187,'Shultis Faw'!$A$2:$A$26,1))+($C187-INDEX('Shultis Faw'!$A$2:$A$26,MATCH($C187,'Shultis Faw'!$A$2:$A$26,1)))*(INDEX('Shultis Faw'!$F$2:$F$26,MATCH($C187,'Shultis Faw'!$A$2:$A$26,1)+1)-INDEX('Shultis Faw'!$F$2:$F$26,MATCH($C187,'Shultis Faw'!$A$2:$A$26,1)))/(INDEX('Shultis Faw'!$A$2:$A$26,MATCH($C187,'Shultis Faw'!$A$2:$A$26,1)+1)-INDEX('Shultis Faw'!$A$2:$A$26,MATCH($C187,'Shultis Faw'!$A$2:$A$26,1))),$C187*'Shultis Faw'!$F$2/'Shultis Faw'!$A$2)</f>
        <v>14.318009999999999</v>
      </c>
      <c r="N187" s="83">
        <f>J187*(H187*'Externe blootstelling'!$D$23/2)^K187+L187*(TANH(((H187*'Externe blootstelling'!$D$23)/(2*M187))-2)-TANH(-2))/(1-TANH(-2))</f>
        <v>1.5518026269495682</v>
      </c>
      <c r="O187" s="83">
        <f>IF(N187=1,1+(I187-1)*H187*'Externe blootstelling'!$D$23/2,1+(I187-1)*(N187^(H187*'Externe blootstelling'!$D$23/2)-1)/(N187-1))</f>
        <v>2.641837385145664</v>
      </c>
      <c r="P187" s="67">
        <f>G187*EXP(-H187*'Externe blootstelling'!$D$23/2)*O187</f>
        <v>1.5536226408062001E-4</v>
      </c>
      <c r="Q187" s="68"/>
    </row>
    <row r="188" spans="1:17" x14ac:dyDescent="0.2">
      <c r="A188" s="217"/>
      <c r="B188" s="64" t="s">
        <v>104</v>
      </c>
      <c r="C188" s="66">
        <v>0.75612000000000001</v>
      </c>
      <c r="D188" s="66">
        <f t="shared" si="12"/>
        <v>1.209792E-13</v>
      </c>
      <c r="E188" s="66">
        <v>5.4000000000000005E-5</v>
      </c>
      <c r="F188" s="66">
        <f>_xlfn.IFNA(INDEX('hp (pSv cm2)'!$B$2:$B$52,MATCH($C188,'hp (pSv cm2)'!$A$2:$A$52,1))+($C188-INDEX('hp (pSv cm2)'!$A$2:$A$52,MATCH($C188,'hp (pSv cm2)'!$A$2:$A$52,1)))*(INDEX('hp (pSv cm2)'!$B$2:$B$52,MATCH($C188,'hp (pSv cm2)'!$A$2:$A$52,1)+1)-INDEX('hp (pSv cm2)'!$B$2:$B$52,MATCH($C188,'hp (pSv cm2)'!$A$2:$A$52,1)))/(INDEX('hp (pSv cm2)'!$A$2:$A$52,MATCH($C188,'hp (pSv cm2)'!$A$2:$A$52,1)+1)-INDEX('hp (pSv cm2)'!$A$2:$A$52,MATCH($C188,'hp (pSv cm2)'!$A$2:$A$52,1))),$C188*'hp (pSv cm2)'!$B$2/'hp (pSv cm2)'!$A$2)</f>
        <v>3.5500919999999998</v>
      </c>
      <c r="G188" s="67">
        <f t="shared" si="13"/>
        <v>1.9170496800000001E-4</v>
      </c>
      <c r="H188" s="83">
        <f>_xlfn.IFNA(0.997*(INDEX('Mass attenuation coefficients'!$B$2:$B$37,MATCH($C188,'Mass attenuation coefficients'!$A$2:$A$37,1))+($C188-INDEX('Mass attenuation coefficients'!$A$2:$A$37,MATCH($C188,'Mass attenuation coefficients'!$A$2:$A$37,1)))*(INDEX('Mass attenuation coefficients'!$B$2:$B$37,MATCH($C188,'Mass attenuation coefficients'!$A$2:$A$37,1)+1)-INDEX('Mass attenuation coefficients'!$B$2:$B$37,MATCH($C188,'Mass attenuation coefficients'!$A$2:$A$37,1)))/(INDEX('Mass attenuation coefficients'!$A$2:$A$37,MATCH($C188,'Mass attenuation coefficients'!$A$2:$A$37,1)+1)-INDEX('Mass attenuation coefficients'!$A$2:$A$37,MATCH($C188,'Mass attenuation coefficients'!$A$2:$A$37,1)))),0.997*$C188*'Mass attenuation coefficients'!$B$2/'Mass attenuation coefficients'!$A$2)</f>
        <v>8.0800523037999991E-2</v>
      </c>
      <c r="I188" s="83">
        <f>_xlfn.IFNA(INDEX('Shultis Faw'!$C$2:$C$26,MATCH($C188,'Shultis Faw'!$A$2:$A$26,1))+($C188-INDEX('Shultis Faw'!$A$2:$A$26,MATCH($C188,'Shultis Faw'!$A$2:$A$26,1)))*(INDEX('Shultis Faw'!$C$2:$C$26,MATCH($C188,'Shultis Faw'!$A$2:$A$26,1)+1)-INDEX('Shultis Faw'!$C$2:$C$26,MATCH($C188,'Shultis Faw'!$A$2:$A$26,1)))/(INDEX('Shultis Faw'!$A$2:$A$26,MATCH($C188,'Shultis Faw'!$A$2:$A$26,1)+1)-INDEX('Shultis Faw'!$A$2:$A$26,MATCH($C188,'Shultis Faw'!$A$2:$A$26,1))),$C188*'Shultis Faw'!$C$2/'Shultis Faw'!$A$2)</f>
        <v>2.2482009999999999</v>
      </c>
      <c r="J188" s="83">
        <f>_xlfn.IFNA(INDEX('Shultis Faw'!$D$2:$D$26,MATCH($C188,'Shultis Faw'!$A$2:$A$26,1))+($C188-INDEX('Shultis Faw'!$A$2:$A$26,MATCH($C188,'Shultis Faw'!$A$2:$A$26,1)))*(INDEX('Shultis Faw'!$D$2:$D$26,MATCH($C188,'Shultis Faw'!$A$2:$A$26,1)+1)-INDEX('Shultis Faw'!$D$2:$D$26,MATCH($C188,'Shultis Faw'!$A$2:$A$26,1)))/(INDEX('Shultis Faw'!$A$2:$A$26,MATCH($C188,'Shultis Faw'!$A$2:$A$26,1)+1)-INDEX('Shultis Faw'!$A$2:$A$26,MATCH($C188,'Shultis Faw'!$A$2:$A$26,1))),$C188*'Shultis Faw'!$D$2/'Shultis Faw'!$A$2)</f>
        <v>1.5736190000000001</v>
      </c>
      <c r="K188" s="83">
        <f>_xlfn.IFNA(INDEX('Shultis Faw'!$B$2:$B$26,MATCH($C188,'Shultis Faw'!$A$2:$A$26,1))+($C188-INDEX('Shultis Faw'!$A$2:$A$26,MATCH($C188,'Shultis Faw'!$A$2:$A$26,1)))*(INDEX('Shultis Faw'!$B$2:$B$26,MATCH($C188,'Shultis Faw'!$A$2:$A$26,1)+1)-INDEX('Shultis Faw'!$B$2:$B$26,MATCH($C188,'Shultis Faw'!$A$2:$A$26,1)))/(INDEX('Shultis Faw'!$A$2:$A$26,MATCH($C188,'Shultis Faw'!$A$2:$A$26,1)+1)-INDEX('Shultis Faw'!$A$2:$A$26,MATCH($C188,'Shultis Faw'!$A$2:$A$26,1))),$C188*'Shultis Faw'!$B$2/'Shultis Faw'!$A$2)</f>
        <v>-0.1091686</v>
      </c>
      <c r="L188" s="83">
        <f>_xlfn.IFNA(INDEX('Shultis Faw'!$E$2:$E$26,MATCH($C188,'Shultis Faw'!$A$2:$A$26,1))+($C188-INDEX('Shultis Faw'!$A$2:$A$26,MATCH($C188,'Shultis Faw'!$A$2:$A$26,1)))*(INDEX('Shultis Faw'!$E$2:$E$26,MATCH($C188,'Shultis Faw'!$A$2:$A$26,1)+1)-INDEX('Shultis Faw'!$E$2:$E$26,MATCH($C188,'Shultis Faw'!$A$2:$A$26,1)))/(INDEX('Shultis Faw'!$A$2:$A$26,MATCH($C188,'Shultis Faw'!$A$2:$A$26,1)+1)-INDEX('Shultis Faw'!$A$2:$A$26,MATCH($C188,'Shultis Faw'!$A$2:$A$26,1))),$C188*'Shultis Faw'!$E$2/'Shultis Faw'!$A$2)</f>
        <v>4.514804E-2</v>
      </c>
      <c r="M188" s="83">
        <f>_xlfn.IFNA(INDEX('Shultis Faw'!$F$2:$F$26,MATCH($C188,'Shultis Faw'!$A$2:$A$26,1))+($C188-INDEX('Shultis Faw'!$A$2:$A$26,MATCH($C188,'Shultis Faw'!$A$2:$A$26,1)))*(INDEX('Shultis Faw'!$F$2:$F$26,MATCH($C188,'Shultis Faw'!$A$2:$A$26,1)+1)-INDEX('Shultis Faw'!$F$2:$F$26,MATCH($C188,'Shultis Faw'!$A$2:$A$26,1)))/(INDEX('Shultis Faw'!$A$2:$A$26,MATCH($C188,'Shultis Faw'!$A$2:$A$26,1)+1)-INDEX('Shultis Faw'!$A$2:$A$26,MATCH($C188,'Shultis Faw'!$A$2:$A$26,1))),$C188*'Shultis Faw'!$F$2/'Shultis Faw'!$A$2)</f>
        <v>14.331477999999999</v>
      </c>
      <c r="N188" s="83">
        <f>J188*(H188*'Externe blootstelling'!$D$23/2)^K188+L188*(TANH(((H188*'Externe blootstelling'!$D$23)/(2*M188))-2)-TANH(-2))/(1-TANH(-2))</f>
        <v>1.541080959624709</v>
      </c>
      <c r="O188" s="83">
        <f>IF(N188=1,1+(I188-1)*H188*'Externe blootstelling'!$D$23/2,1+(I188-1)*(N188^(H188*'Externe blootstelling'!$D$23/2)-1)/(N188-1))</f>
        <v>2.5895763470831517</v>
      </c>
      <c r="P188" s="67">
        <f>G188*EXP(-H188*'Externe blootstelling'!$D$23/2)*O188</f>
        <v>1.4773852812030821E-4</v>
      </c>
      <c r="Q188" s="68"/>
    </row>
    <row r="189" spans="1:17" x14ac:dyDescent="0.2">
      <c r="A189" s="217"/>
      <c r="B189" s="64" t="s">
        <v>104</v>
      </c>
      <c r="C189" s="66">
        <v>0.76490000000000002</v>
      </c>
      <c r="D189" s="66">
        <f t="shared" si="12"/>
        <v>1.2238399999999999E-13</v>
      </c>
      <c r="E189" s="66">
        <v>1.9E-3</v>
      </c>
      <c r="F189" s="66">
        <f>_xlfn.IFNA(INDEX('hp (pSv cm2)'!$B$2:$B$52,MATCH($C189,'hp (pSv cm2)'!$A$2:$A$52,1))+($C189-INDEX('hp (pSv cm2)'!$A$2:$A$52,MATCH($C189,'hp (pSv cm2)'!$A$2:$A$52,1)))*(INDEX('hp (pSv cm2)'!$B$2:$B$52,MATCH($C189,'hp (pSv cm2)'!$A$2:$A$52,1)+1)-INDEX('hp (pSv cm2)'!$B$2:$B$52,MATCH($C189,'hp (pSv cm2)'!$A$2:$A$52,1)))/(INDEX('hp (pSv cm2)'!$A$2:$A$52,MATCH($C189,'hp (pSv cm2)'!$A$2:$A$52,1)+1)-INDEX('hp (pSv cm2)'!$A$2:$A$52,MATCH($C189,'hp (pSv cm2)'!$A$2:$A$52,1))),$C189*'hp (pSv cm2)'!$B$2/'hp (pSv cm2)'!$A$2)</f>
        <v>3.58609</v>
      </c>
      <c r="G189" s="67">
        <f t="shared" si="13"/>
        <v>6.813571E-3</v>
      </c>
      <c r="H189" s="83">
        <f>_xlfn.IFNA(0.997*(INDEX('Mass attenuation coefficients'!$B$2:$B$37,MATCH($C189,'Mass attenuation coefficients'!$A$2:$A$37,1))+($C189-INDEX('Mass attenuation coefficients'!$A$2:$A$37,MATCH($C189,'Mass attenuation coefficients'!$A$2:$A$37,1)))*(INDEX('Mass attenuation coefficients'!$B$2:$B$37,MATCH($C189,'Mass attenuation coefficients'!$A$2:$A$37,1)+1)-INDEX('Mass attenuation coefficients'!$B$2:$B$37,MATCH($C189,'Mass attenuation coefficients'!$A$2:$A$37,1)))/(INDEX('Mass attenuation coefficients'!$A$2:$A$37,MATCH($C189,'Mass attenuation coefficients'!$A$2:$A$37,1)+1)-INDEX('Mass attenuation coefficients'!$A$2:$A$37,MATCH($C189,'Mass attenuation coefficients'!$A$2:$A$37,1)))),0.997*$C189*'Mass attenuation coefficients'!$B$2/'Mass attenuation coefficients'!$A$2)</f>
        <v>8.0323010885000004E-2</v>
      </c>
      <c r="I189" s="83">
        <f>_xlfn.IFNA(INDEX('Shultis Faw'!$C$2:$C$26,MATCH($C189,'Shultis Faw'!$A$2:$A$26,1))+($C189-INDEX('Shultis Faw'!$A$2:$A$26,MATCH($C189,'Shultis Faw'!$A$2:$A$26,1)))*(INDEX('Shultis Faw'!$C$2:$C$26,MATCH($C189,'Shultis Faw'!$A$2:$A$26,1)+1)-INDEX('Shultis Faw'!$C$2:$C$26,MATCH($C189,'Shultis Faw'!$A$2:$A$26,1)))/(INDEX('Shultis Faw'!$A$2:$A$26,MATCH($C189,'Shultis Faw'!$A$2:$A$26,1)+1)-INDEX('Shultis Faw'!$A$2:$A$26,MATCH($C189,'Shultis Faw'!$A$2:$A$26,1))),$C189*'Shultis Faw'!$C$2/'Shultis Faw'!$A$2)</f>
        <v>2.2409574999999999</v>
      </c>
      <c r="J189" s="83">
        <f>_xlfn.IFNA(INDEX('Shultis Faw'!$D$2:$D$26,MATCH($C189,'Shultis Faw'!$A$2:$A$26,1))+($C189-INDEX('Shultis Faw'!$A$2:$A$26,MATCH($C189,'Shultis Faw'!$A$2:$A$26,1)))*(INDEX('Shultis Faw'!$D$2:$D$26,MATCH($C189,'Shultis Faw'!$A$2:$A$26,1)+1)-INDEX('Shultis Faw'!$D$2:$D$26,MATCH($C189,'Shultis Faw'!$A$2:$A$26,1)))/(INDEX('Shultis Faw'!$A$2:$A$26,MATCH($C189,'Shultis Faw'!$A$2:$A$26,1)+1)-INDEX('Shultis Faw'!$A$2:$A$26,MATCH($C189,'Shultis Faw'!$A$2:$A$26,1))),$C189*'Shultis Faw'!$D$2/'Shultis Faw'!$A$2)</f>
        <v>1.5676925000000002</v>
      </c>
      <c r="K189" s="83">
        <f>_xlfn.IFNA(INDEX('Shultis Faw'!$B$2:$B$26,MATCH($C189,'Shultis Faw'!$A$2:$A$26,1))+($C189-INDEX('Shultis Faw'!$A$2:$A$26,MATCH($C189,'Shultis Faw'!$A$2:$A$26,1)))*(INDEX('Shultis Faw'!$B$2:$B$26,MATCH($C189,'Shultis Faw'!$A$2:$A$26,1)+1)-INDEX('Shultis Faw'!$B$2:$B$26,MATCH($C189,'Shultis Faw'!$A$2:$A$26,1)))/(INDEX('Shultis Faw'!$A$2:$A$26,MATCH($C189,'Shultis Faw'!$A$2:$A$26,1)+1)-INDEX('Shultis Faw'!$A$2:$A$26,MATCH($C189,'Shultis Faw'!$A$2:$A$26,1))),$C189*'Shultis Faw'!$B$2/'Shultis Faw'!$A$2)</f>
        <v>-0.1083345</v>
      </c>
      <c r="L189" s="83">
        <f>_xlfn.IFNA(INDEX('Shultis Faw'!$E$2:$E$26,MATCH($C189,'Shultis Faw'!$A$2:$A$26,1))+($C189-INDEX('Shultis Faw'!$A$2:$A$26,MATCH($C189,'Shultis Faw'!$A$2:$A$26,1)))*(INDEX('Shultis Faw'!$E$2:$E$26,MATCH($C189,'Shultis Faw'!$A$2:$A$26,1)+1)-INDEX('Shultis Faw'!$E$2:$E$26,MATCH($C189,'Shultis Faw'!$A$2:$A$26,1)))/(INDEX('Shultis Faw'!$A$2:$A$26,MATCH($C189,'Shultis Faw'!$A$2:$A$26,1)+1)-INDEX('Shultis Faw'!$A$2:$A$26,MATCH($C189,'Shultis Faw'!$A$2:$A$26,1))),$C189*'Shultis Faw'!$E$2/'Shultis Faw'!$A$2)</f>
        <v>4.4858300000000004E-2</v>
      </c>
      <c r="M189" s="83">
        <f>_xlfn.IFNA(INDEX('Shultis Faw'!$F$2:$F$26,MATCH($C189,'Shultis Faw'!$A$2:$A$26,1))+($C189-INDEX('Shultis Faw'!$A$2:$A$26,MATCH($C189,'Shultis Faw'!$A$2:$A$26,1)))*(INDEX('Shultis Faw'!$F$2:$F$26,MATCH($C189,'Shultis Faw'!$A$2:$A$26,1)+1)-INDEX('Shultis Faw'!$F$2:$F$26,MATCH($C189,'Shultis Faw'!$A$2:$A$26,1)))/(INDEX('Shultis Faw'!$A$2:$A$26,MATCH($C189,'Shultis Faw'!$A$2:$A$26,1)+1)-INDEX('Shultis Faw'!$A$2:$A$26,MATCH($C189,'Shultis Faw'!$A$2:$A$26,1))),$C189*'Shultis Faw'!$F$2/'Shultis Faw'!$A$2)</f>
        <v>14.337185</v>
      </c>
      <c r="N189" s="83">
        <f>J189*(H189*'Externe blootstelling'!$D$23/2)^K189+L189*(TANH(((H189*'Externe blootstelling'!$D$23)/(2*M189))-2)-TANH(-2))/(1-TANH(-2))</f>
        <v>1.5365080464243526</v>
      </c>
      <c r="O189" s="83">
        <f>IF(N189=1,1+(I189-1)*H189*'Externe blootstelling'!$D$23/2,1+(I189-1)*(N189^(H189*'Externe blootstelling'!$D$23/2)-1)/(N189-1))</f>
        <v>2.5678179069398968</v>
      </c>
      <c r="P189" s="67">
        <f>G189*EXP(-H189*'Externe blootstelling'!$D$23/2)*O189</f>
        <v>5.2442260436468581E-3</v>
      </c>
      <c r="Q189" s="68"/>
    </row>
    <row r="190" spans="1:17" x14ac:dyDescent="0.2">
      <c r="A190" s="217"/>
      <c r="B190" s="64" t="s">
        <v>104</v>
      </c>
      <c r="C190" s="66">
        <v>0.76894399999999996</v>
      </c>
      <c r="D190" s="66">
        <f t="shared" si="12"/>
        <v>1.2303104E-13</v>
      </c>
      <c r="E190" s="66">
        <v>8.7999999999999992E-4</v>
      </c>
      <c r="F190" s="66">
        <f>_xlfn.IFNA(INDEX('hp (pSv cm2)'!$B$2:$B$52,MATCH($C190,'hp (pSv cm2)'!$A$2:$A$52,1))+($C190-INDEX('hp (pSv cm2)'!$A$2:$A$52,MATCH($C190,'hp (pSv cm2)'!$A$2:$A$52,1)))*(INDEX('hp (pSv cm2)'!$B$2:$B$52,MATCH($C190,'hp (pSv cm2)'!$A$2:$A$52,1)+1)-INDEX('hp (pSv cm2)'!$B$2:$B$52,MATCH($C190,'hp (pSv cm2)'!$A$2:$A$52,1)))/(INDEX('hp (pSv cm2)'!$A$2:$A$52,MATCH($C190,'hp (pSv cm2)'!$A$2:$A$52,1)+1)-INDEX('hp (pSv cm2)'!$A$2:$A$52,MATCH($C190,'hp (pSv cm2)'!$A$2:$A$52,1))),$C190*'hp (pSv cm2)'!$B$2/'hp (pSv cm2)'!$A$2)</f>
        <v>3.6026703999999996</v>
      </c>
      <c r="G190" s="67">
        <f t="shared" si="13"/>
        <v>3.1703499519999995E-3</v>
      </c>
      <c r="H190" s="83">
        <f>_xlfn.IFNA(0.997*(INDEX('Mass attenuation coefficients'!$B$2:$B$37,MATCH($C190,'Mass attenuation coefficients'!$A$2:$A$37,1))+($C190-INDEX('Mass attenuation coefficients'!$A$2:$A$37,MATCH($C190,'Mass attenuation coefficients'!$A$2:$A$37,1)))*(INDEX('Mass attenuation coefficients'!$B$2:$B$37,MATCH($C190,'Mass attenuation coefficients'!$A$2:$A$37,1)+1)-INDEX('Mass attenuation coefficients'!$B$2:$B$37,MATCH($C190,'Mass attenuation coefficients'!$A$2:$A$37,1)))/(INDEX('Mass attenuation coefficients'!$A$2:$A$37,MATCH($C190,'Mass attenuation coefficients'!$A$2:$A$37,1)+1)-INDEX('Mass attenuation coefficients'!$A$2:$A$37,MATCH($C190,'Mass attenuation coefficients'!$A$2:$A$37,1)))),0.997*$C190*'Mass attenuation coefficients'!$B$2/'Mass attenuation coefficients'!$A$2)</f>
        <v>8.0103072485600002E-2</v>
      </c>
      <c r="I190" s="83">
        <f>_xlfn.IFNA(INDEX('Shultis Faw'!$C$2:$C$26,MATCH($C190,'Shultis Faw'!$A$2:$A$26,1))+($C190-INDEX('Shultis Faw'!$A$2:$A$26,MATCH($C190,'Shultis Faw'!$A$2:$A$26,1)))*(INDEX('Shultis Faw'!$C$2:$C$26,MATCH($C190,'Shultis Faw'!$A$2:$A$26,1)+1)-INDEX('Shultis Faw'!$C$2:$C$26,MATCH($C190,'Shultis Faw'!$A$2:$A$26,1)))/(INDEX('Shultis Faw'!$A$2:$A$26,MATCH($C190,'Shultis Faw'!$A$2:$A$26,1)+1)-INDEX('Shultis Faw'!$A$2:$A$26,MATCH($C190,'Shultis Faw'!$A$2:$A$26,1))),$C190*'Shultis Faw'!$C$2/'Shultis Faw'!$A$2)</f>
        <v>2.2376212000000004</v>
      </c>
      <c r="J190" s="83">
        <f>_xlfn.IFNA(INDEX('Shultis Faw'!$D$2:$D$26,MATCH($C190,'Shultis Faw'!$A$2:$A$26,1))+($C190-INDEX('Shultis Faw'!$A$2:$A$26,MATCH($C190,'Shultis Faw'!$A$2:$A$26,1)))*(INDEX('Shultis Faw'!$D$2:$D$26,MATCH($C190,'Shultis Faw'!$A$2:$A$26,1)+1)-INDEX('Shultis Faw'!$D$2:$D$26,MATCH($C190,'Shultis Faw'!$A$2:$A$26,1)))/(INDEX('Shultis Faw'!$A$2:$A$26,MATCH($C190,'Shultis Faw'!$A$2:$A$26,1)+1)-INDEX('Shultis Faw'!$A$2:$A$26,MATCH($C190,'Shultis Faw'!$A$2:$A$26,1))),$C190*'Shultis Faw'!$D$2/'Shultis Faw'!$A$2)</f>
        <v>1.5649628</v>
      </c>
      <c r="K190" s="83">
        <f>_xlfn.IFNA(INDEX('Shultis Faw'!$B$2:$B$26,MATCH($C190,'Shultis Faw'!$A$2:$A$26,1))+($C190-INDEX('Shultis Faw'!$A$2:$A$26,MATCH($C190,'Shultis Faw'!$A$2:$A$26,1)))*(INDEX('Shultis Faw'!$B$2:$B$26,MATCH($C190,'Shultis Faw'!$A$2:$A$26,1)+1)-INDEX('Shultis Faw'!$B$2:$B$26,MATCH($C190,'Shultis Faw'!$A$2:$A$26,1)))/(INDEX('Shultis Faw'!$A$2:$A$26,MATCH($C190,'Shultis Faw'!$A$2:$A$26,1)+1)-INDEX('Shultis Faw'!$A$2:$A$26,MATCH($C190,'Shultis Faw'!$A$2:$A$26,1))),$C190*'Shultis Faw'!$B$2/'Shultis Faw'!$A$2)</f>
        <v>-0.10795032</v>
      </c>
      <c r="L190" s="83">
        <f>_xlfn.IFNA(INDEX('Shultis Faw'!$E$2:$E$26,MATCH($C190,'Shultis Faw'!$A$2:$A$26,1))+($C190-INDEX('Shultis Faw'!$A$2:$A$26,MATCH($C190,'Shultis Faw'!$A$2:$A$26,1)))*(INDEX('Shultis Faw'!$E$2:$E$26,MATCH($C190,'Shultis Faw'!$A$2:$A$26,1)+1)-INDEX('Shultis Faw'!$E$2:$E$26,MATCH($C190,'Shultis Faw'!$A$2:$A$26,1)))/(INDEX('Shultis Faw'!$A$2:$A$26,MATCH($C190,'Shultis Faw'!$A$2:$A$26,1)+1)-INDEX('Shultis Faw'!$A$2:$A$26,MATCH($C190,'Shultis Faw'!$A$2:$A$26,1))),$C190*'Shultis Faw'!$E$2/'Shultis Faw'!$A$2)</f>
        <v>4.4724848000000005E-2</v>
      </c>
      <c r="M190" s="83">
        <f>_xlfn.IFNA(INDEX('Shultis Faw'!$F$2:$F$26,MATCH($C190,'Shultis Faw'!$A$2:$A$26,1))+($C190-INDEX('Shultis Faw'!$A$2:$A$26,MATCH($C190,'Shultis Faw'!$A$2:$A$26,1)))*(INDEX('Shultis Faw'!$F$2:$F$26,MATCH($C190,'Shultis Faw'!$A$2:$A$26,1)+1)-INDEX('Shultis Faw'!$F$2:$F$26,MATCH($C190,'Shultis Faw'!$A$2:$A$26,1)))/(INDEX('Shultis Faw'!$A$2:$A$26,MATCH($C190,'Shultis Faw'!$A$2:$A$26,1)+1)-INDEX('Shultis Faw'!$A$2:$A$26,MATCH($C190,'Shultis Faw'!$A$2:$A$26,1))),$C190*'Shultis Faw'!$F$2/'Shultis Faw'!$A$2)</f>
        <v>14.339813599999999</v>
      </c>
      <c r="N190" s="83">
        <f>J190*(H190*'Externe blootstelling'!$D$23/2)^K190+L190*(TANH(((H190*'Externe blootstelling'!$D$23)/(2*M190))-2)-TANH(-2))/(1-TANH(-2))</f>
        <v>1.534395862664313</v>
      </c>
      <c r="O190" s="83">
        <f>IF(N190=1,1+(I190-1)*H190*'Externe blootstelling'!$D$23/2,1+(I190-1)*(N190^(H190*'Externe blootstelling'!$D$23/2)-1)/(N190-1))</f>
        <v>2.5578726743508855</v>
      </c>
      <c r="P190" s="67">
        <f>G190*EXP(-H190*'Externe blootstelling'!$D$23/2)*O190</f>
        <v>2.4387163526975323E-3</v>
      </c>
      <c r="Q190" s="68"/>
    </row>
    <row r="191" spans="1:17" x14ac:dyDescent="0.2">
      <c r="A191" s="217"/>
      <c r="B191" s="64" t="s">
        <v>104</v>
      </c>
      <c r="C191" s="66">
        <v>0.7789045</v>
      </c>
      <c r="D191" s="66">
        <f t="shared" si="12"/>
        <v>1.2462471999999999E-13</v>
      </c>
      <c r="E191" s="66">
        <v>0.12970000000000001</v>
      </c>
      <c r="F191" s="66">
        <f>_xlfn.IFNA(INDEX('hp (pSv cm2)'!$B$2:$B$52,MATCH($C191,'hp (pSv cm2)'!$A$2:$A$52,1))+($C191-INDEX('hp (pSv cm2)'!$A$2:$A$52,MATCH($C191,'hp (pSv cm2)'!$A$2:$A$52,1)))*(INDEX('hp (pSv cm2)'!$B$2:$B$52,MATCH($C191,'hp (pSv cm2)'!$A$2:$A$52,1)+1)-INDEX('hp (pSv cm2)'!$B$2:$B$52,MATCH($C191,'hp (pSv cm2)'!$A$2:$A$52,1)))/(INDEX('hp (pSv cm2)'!$A$2:$A$52,MATCH($C191,'hp (pSv cm2)'!$A$2:$A$52,1)+1)-INDEX('hp (pSv cm2)'!$A$2:$A$52,MATCH($C191,'hp (pSv cm2)'!$A$2:$A$52,1))),$C191*'hp (pSv cm2)'!$B$2/'hp (pSv cm2)'!$A$2)</f>
        <v>3.6435084499999997</v>
      </c>
      <c r="G191" s="67">
        <f t="shared" si="13"/>
        <v>0.47256304596499998</v>
      </c>
      <c r="H191" s="83">
        <f>_xlfn.IFNA(0.997*(INDEX('Mass attenuation coefficients'!$B$2:$B$37,MATCH($C191,'Mass attenuation coefficients'!$A$2:$A$37,1))+($C191-INDEX('Mass attenuation coefficients'!$A$2:$A$37,MATCH($C191,'Mass attenuation coefficients'!$A$2:$A$37,1)))*(INDEX('Mass attenuation coefficients'!$B$2:$B$37,MATCH($C191,'Mass attenuation coefficients'!$A$2:$A$37,1)+1)-INDEX('Mass attenuation coefficients'!$B$2:$B$37,MATCH($C191,'Mass attenuation coefficients'!$A$2:$A$37,1)))/(INDEX('Mass attenuation coefficients'!$A$2:$A$37,MATCH($C191,'Mass attenuation coefficients'!$A$2:$A$37,1)+1)-INDEX('Mass attenuation coefficients'!$A$2:$A$37,MATCH($C191,'Mass attenuation coefficients'!$A$2:$A$37,1)))),0.997*$C191*'Mass attenuation coefficients'!$B$2/'Mass attenuation coefficients'!$A$2)</f>
        <v>7.9561357246425005E-2</v>
      </c>
      <c r="I191" s="83">
        <f>_xlfn.IFNA(INDEX('Shultis Faw'!$C$2:$C$26,MATCH($C191,'Shultis Faw'!$A$2:$A$26,1))+($C191-INDEX('Shultis Faw'!$A$2:$A$26,MATCH($C191,'Shultis Faw'!$A$2:$A$26,1)))*(INDEX('Shultis Faw'!$C$2:$C$26,MATCH($C191,'Shultis Faw'!$A$2:$A$26,1)+1)-INDEX('Shultis Faw'!$C$2:$C$26,MATCH($C191,'Shultis Faw'!$A$2:$A$26,1)))/(INDEX('Shultis Faw'!$A$2:$A$26,MATCH($C191,'Shultis Faw'!$A$2:$A$26,1)+1)-INDEX('Shultis Faw'!$A$2:$A$26,MATCH($C191,'Shultis Faw'!$A$2:$A$26,1))),$C191*'Shultis Faw'!$C$2/'Shultis Faw'!$A$2)</f>
        <v>2.2294037875000003</v>
      </c>
      <c r="J191" s="83">
        <f>_xlfn.IFNA(INDEX('Shultis Faw'!$D$2:$D$26,MATCH($C191,'Shultis Faw'!$A$2:$A$26,1))+($C191-INDEX('Shultis Faw'!$A$2:$A$26,MATCH($C191,'Shultis Faw'!$A$2:$A$26,1)))*(INDEX('Shultis Faw'!$D$2:$D$26,MATCH($C191,'Shultis Faw'!$A$2:$A$26,1)+1)-INDEX('Shultis Faw'!$D$2:$D$26,MATCH($C191,'Shultis Faw'!$A$2:$A$26,1)))/(INDEX('Shultis Faw'!$A$2:$A$26,MATCH($C191,'Shultis Faw'!$A$2:$A$26,1)+1)-INDEX('Shultis Faw'!$A$2:$A$26,MATCH($C191,'Shultis Faw'!$A$2:$A$26,1))),$C191*'Shultis Faw'!$D$2/'Shultis Faw'!$A$2)</f>
        <v>1.5582394625</v>
      </c>
      <c r="K191" s="83">
        <f>_xlfn.IFNA(INDEX('Shultis Faw'!$B$2:$B$26,MATCH($C191,'Shultis Faw'!$A$2:$A$26,1))+($C191-INDEX('Shultis Faw'!$A$2:$A$26,MATCH($C191,'Shultis Faw'!$A$2:$A$26,1)))*(INDEX('Shultis Faw'!$B$2:$B$26,MATCH($C191,'Shultis Faw'!$A$2:$A$26,1)+1)-INDEX('Shultis Faw'!$B$2:$B$26,MATCH($C191,'Shultis Faw'!$A$2:$A$26,1)))/(INDEX('Shultis Faw'!$A$2:$A$26,MATCH($C191,'Shultis Faw'!$A$2:$A$26,1)+1)-INDEX('Shultis Faw'!$A$2:$A$26,MATCH($C191,'Shultis Faw'!$A$2:$A$26,1))),$C191*'Shultis Faw'!$B$2/'Shultis Faw'!$A$2)</f>
        <v>-0.10700407250000001</v>
      </c>
      <c r="L191" s="83">
        <f>_xlfn.IFNA(INDEX('Shultis Faw'!$E$2:$E$26,MATCH($C191,'Shultis Faw'!$A$2:$A$26,1))+($C191-INDEX('Shultis Faw'!$A$2:$A$26,MATCH($C191,'Shultis Faw'!$A$2:$A$26,1)))*(INDEX('Shultis Faw'!$E$2:$E$26,MATCH($C191,'Shultis Faw'!$A$2:$A$26,1)+1)-INDEX('Shultis Faw'!$E$2:$E$26,MATCH($C191,'Shultis Faw'!$A$2:$A$26,1)))/(INDEX('Shultis Faw'!$A$2:$A$26,MATCH($C191,'Shultis Faw'!$A$2:$A$26,1)+1)-INDEX('Shultis Faw'!$A$2:$A$26,MATCH($C191,'Shultis Faw'!$A$2:$A$26,1))),$C191*'Shultis Faw'!$E$2/'Shultis Faw'!$A$2)</f>
        <v>4.4396151500000001E-2</v>
      </c>
      <c r="M191" s="83">
        <f>_xlfn.IFNA(INDEX('Shultis Faw'!$F$2:$F$26,MATCH($C191,'Shultis Faw'!$A$2:$A$26,1))+($C191-INDEX('Shultis Faw'!$A$2:$A$26,MATCH($C191,'Shultis Faw'!$A$2:$A$26,1)))*(INDEX('Shultis Faw'!$F$2:$F$26,MATCH($C191,'Shultis Faw'!$A$2:$A$26,1)+1)-INDEX('Shultis Faw'!$F$2:$F$26,MATCH($C191,'Shultis Faw'!$A$2:$A$26,1)))/(INDEX('Shultis Faw'!$A$2:$A$26,MATCH($C191,'Shultis Faw'!$A$2:$A$26,1)+1)-INDEX('Shultis Faw'!$A$2:$A$26,MATCH($C191,'Shultis Faw'!$A$2:$A$26,1))),$C191*'Shultis Faw'!$F$2/'Shultis Faw'!$A$2)</f>
        <v>14.346287925</v>
      </c>
      <c r="N191" s="83">
        <f>J191*(H191*'Externe blootstelling'!$D$23/2)^K191+L191*(TANH(((H191*'Externe blootstelling'!$D$23)/(2*M191))-2)-TANH(-2))/(1-TANH(-2))</f>
        <v>1.5291775283117548</v>
      </c>
      <c r="O191" s="83">
        <f>IF(N191=1,1+(I191-1)*H191*'Externe blootstelling'!$D$23/2,1+(I191-1)*(N191^(H191*'Externe blootstelling'!$D$23/2)-1)/(N191-1))</f>
        <v>2.5335814274570554</v>
      </c>
      <c r="P191" s="67">
        <f>G191*EXP(-H191*'Externe blootstelling'!$D$23/2)*O191</f>
        <v>0.36299341574986033</v>
      </c>
      <c r="Q191" s="68"/>
    </row>
    <row r="192" spans="1:17" x14ac:dyDescent="0.2">
      <c r="A192" s="217"/>
      <c r="B192" s="64" t="s">
        <v>104</v>
      </c>
      <c r="C192" s="66">
        <v>0.79480999999999991</v>
      </c>
      <c r="D192" s="66">
        <f t="shared" si="12"/>
        <v>1.2716959999999997E-13</v>
      </c>
      <c r="E192" s="66">
        <v>2.63E-4</v>
      </c>
      <c r="F192" s="66">
        <f>_xlfn.IFNA(INDEX('hp (pSv cm2)'!$B$2:$B$52,MATCH($C192,'hp (pSv cm2)'!$A$2:$A$52,1))+($C192-INDEX('hp (pSv cm2)'!$A$2:$A$52,MATCH($C192,'hp (pSv cm2)'!$A$2:$A$52,1)))*(INDEX('hp (pSv cm2)'!$B$2:$B$52,MATCH($C192,'hp (pSv cm2)'!$A$2:$A$52,1)+1)-INDEX('hp (pSv cm2)'!$B$2:$B$52,MATCH($C192,'hp (pSv cm2)'!$A$2:$A$52,1)))/(INDEX('hp (pSv cm2)'!$A$2:$A$52,MATCH($C192,'hp (pSv cm2)'!$A$2:$A$52,1)+1)-INDEX('hp (pSv cm2)'!$A$2:$A$52,MATCH($C192,'hp (pSv cm2)'!$A$2:$A$52,1))),$C192*'hp (pSv cm2)'!$B$2/'hp (pSv cm2)'!$A$2)</f>
        <v>3.7087209999999997</v>
      </c>
      <c r="G192" s="67">
        <f t="shared" si="13"/>
        <v>9.7539362299999986E-4</v>
      </c>
      <c r="H192" s="83">
        <f>_xlfn.IFNA(0.997*(INDEX('Mass attenuation coefficients'!$B$2:$B$37,MATCH($C192,'Mass attenuation coefficients'!$A$2:$A$37,1))+($C192-INDEX('Mass attenuation coefficients'!$A$2:$A$37,MATCH($C192,'Mass attenuation coefficients'!$A$2:$A$37,1)))*(INDEX('Mass attenuation coefficients'!$B$2:$B$37,MATCH($C192,'Mass attenuation coefficients'!$A$2:$A$37,1)+1)-INDEX('Mass attenuation coefficients'!$B$2:$B$37,MATCH($C192,'Mass attenuation coefficients'!$A$2:$A$37,1)))/(INDEX('Mass attenuation coefficients'!$A$2:$A$37,MATCH($C192,'Mass attenuation coefficients'!$A$2:$A$37,1)+1)-INDEX('Mass attenuation coefficients'!$A$2:$A$37,MATCH($C192,'Mass attenuation coefficients'!$A$2:$A$37,1)))),0.997*$C192*'Mass attenuation coefficients'!$B$2/'Mass attenuation coefficients'!$A$2)</f>
        <v>7.869631515650001E-2</v>
      </c>
      <c r="I192" s="83">
        <f>_xlfn.IFNA(INDEX('Shultis Faw'!$C$2:$C$26,MATCH($C192,'Shultis Faw'!$A$2:$A$26,1))+($C192-INDEX('Shultis Faw'!$A$2:$A$26,MATCH($C192,'Shultis Faw'!$A$2:$A$26,1)))*(INDEX('Shultis Faw'!$C$2:$C$26,MATCH($C192,'Shultis Faw'!$A$2:$A$26,1)+1)-INDEX('Shultis Faw'!$C$2:$C$26,MATCH($C192,'Shultis Faw'!$A$2:$A$26,1)))/(INDEX('Shultis Faw'!$A$2:$A$26,MATCH($C192,'Shultis Faw'!$A$2:$A$26,1)+1)-INDEX('Shultis Faw'!$A$2:$A$26,MATCH($C192,'Shultis Faw'!$A$2:$A$26,1))),$C192*'Shultis Faw'!$C$2/'Shultis Faw'!$A$2)</f>
        <v>2.2162817500000003</v>
      </c>
      <c r="J192" s="83">
        <f>_xlfn.IFNA(INDEX('Shultis Faw'!$D$2:$D$26,MATCH($C192,'Shultis Faw'!$A$2:$A$26,1))+($C192-INDEX('Shultis Faw'!$A$2:$A$26,MATCH($C192,'Shultis Faw'!$A$2:$A$26,1)))*(INDEX('Shultis Faw'!$D$2:$D$26,MATCH($C192,'Shultis Faw'!$A$2:$A$26,1)+1)-INDEX('Shultis Faw'!$D$2:$D$26,MATCH($C192,'Shultis Faw'!$A$2:$A$26,1)))/(INDEX('Shultis Faw'!$A$2:$A$26,MATCH($C192,'Shultis Faw'!$A$2:$A$26,1)+1)-INDEX('Shultis Faw'!$A$2:$A$26,MATCH($C192,'Shultis Faw'!$A$2:$A$26,1))),$C192*'Shultis Faw'!$D$2/'Shultis Faw'!$A$2)</f>
        <v>1.5475032500000001</v>
      </c>
      <c r="K192" s="83">
        <f>_xlfn.IFNA(INDEX('Shultis Faw'!$B$2:$B$26,MATCH($C192,'Shultis Faw'!$A$2:$A$26,1))+($C192-INDEX('Shultis Faw'!$A$2:$A$26,MATCH($C192,'Shultis Faw'!$A$2:$A$26,1)))*(INDEX('Shultis Faw'!$B$2:$B$26,MATCH($C192,'Shultis Faw'!$A$2:$A$26,1)+1)-INDEX('Shultis Faw'!$B$2:$B$26,MATCH($C192,'Shultis Faw'!$A$2:$A$26,1)))/(INDEX('Shultis Faw'!$A$2:$A$26,MATCH($C192,'Shultis Faw'!$A$2:$A$26,1)+1)-INDEX('Shultis Faw'!$A$2:$A$26,MATCH($C192,'Shultis Faw'!$A$2:$A$26,1))),$C192*'Shultis Faw'!$B$2/'Shultis Faw'!$A$2)</f>
        <v>-0.10549305</v>
      </c>
      <c r="L192" s="83">
        <f>_xlfn.IFNA(INDEX('Shultis Faw'!$E$2:$E$26,MATCH($C192,'Shultis Faw'!$A$2:$A$26,1))+($C192-INDEX('Shultis Faw'!$A$2:$A$26,MATCH($C192,'Shultis Faw'!$A$2:$A$26,1)))*(INDEX('Shultis Faw'!$E$2:$E$26,MATCH($C192,'Shultis Faw'!$A$2:$A$26,1)+1)-INDEX('Shultis Faw'!$E$2:$E$26,MATCH($C192,'Shultis Faw'!$A$2:$A$26,1)))/(INDEX('Shultis Faw'!$A$2:$A$26,MATCH($C192,'Shultis Faw'!$A$2:$A$26,1)+1)-INDEX('Shultis Faw'!$A$2:$A$26,MATCH($C192,'Shultis Faw'!$A$2:$A$26,1))),$C192*'Shultis Faw'!$E$2/'Shultis Faw'!$A$2)</f>
        <v>4.3871270000000004E-2</v>
      </c>
      <c r="M192" s="83">
        <f>_xlfn.IFNA(INDEX('Shultis Faw'!$F$2:$F$26,MATCH($C192,'Shultis Faw'!$A$2:$A$26,1))+($C192-INDEX('Shultis Faw'!$A$2:$A$26,MATCH($C192,'Shultis Faw'!$A$2:$A$26,1)))*(INDEX('Shultis Faw'!$F$2:$F$26,MATCH($C192,'Shultis Faw'!$A$2:$A$26,1)+1)-INDEX('Shultis Faw'!$F$2:$F$26,MATCH($C192,'Shultis Faw'!$A$2:$A$26,1)))/(INDEX('Shultis Faw'!$A$2:$A$26,MATCH($C192,'Shultis Faw'!$A$2:$A$26,1)+1)-INDEX('Shultis Faw'!$A$2:$A$26,MATCH($C192,'Shultis Faw'!$A$2:$A$26,1))),$C192*'Shultis Faw'!$F$2/'Shultis Faw'!$A$2)</f>
        <v>14.356626499999999</v>
      </c>
      <c r="N192" s="83">
        <f>J192*(H192*'Externe blootstelling'!$D$23/2)^K192+L192*(TANH(((H192*'Externe blootstelling'!$D$23)/(2*M192))-2)-TANH(-2))/(1-TANH(-2))</f>
        <v>1.5207975466011976</v>
      </c>
      <c r="O192" s="83">
        <f>IF(N192=1,1+(I192-1)*H192*'Externe blootstelling'!$D$23/2,1+(I192-1)*(N192^(H192*'Externe blootstelling'!$D$23/2)-1)/(N192-1))</f>
        <v>2.4953874796125843</v>
      </c>
      <c r="P192" s="67">
        <f>G192*EXP(-H192*'Externe blootstelling'!$D$23/2)*O192</f>
        <v>7.4757930828104452E-4</v>
      </c>
      <c r="Q192" s="68"/>
    </row>
    <row r="193" spans="1:17" x14ac:dyDescent="0.2">
      <c r="A193" s="217"/>
      <c r="B193" s="64" t="s">
        <v>104</v>
      </c>
      <c r="C193" s="66">
        <v>0.80570000000000008</v>
      </c>
      <c r="D193" s="66">
        <f t="shared" si="12"/>
        <v>1.2891200000000002E-13</v>
      </c>
      <c r="E193" s="66">
        <v>1.25E-4</v>
      </c>
      <c r="F193" s="66">
        <f>_xlfn.IFNA(INDEX('hp (pSv cm2)'!$B$2:$B$52,MATCH($C193,'hp (pSv cm2)'!$A$2:$A$52,1))+($C193-INDEX('hp (pSv cm2)'!$A$2:$A$52,MATCH($C193,'hp (pSv cm2)'!$A$2:$A$52,1)))*(INDEX('hp (pSv cm2)'!$B$2:$B$52,MATCH($C193,'hp (pSv cm2)'!$A$2:$A$52,1)+1)-INDEX('hp (pSv cm2)'!$B$2:$B$52,MATCH($C193,'hp (pSv cm2)'!$A$2:$A$52,1)))/(INDEX('hp (pSv cm2)'!$A$2:$A$52,MATCH($C193,'hp (pSv cm2)'!$A$2:$A$52,1)+1)-INDEX('hp (pSv cm2)'!$A$2:$A$52,MATCH($C193,'hp (pSv cm2)'!$A$2:$A$52,1))),$C193*'hp (pSv cm2)'!$B$2/'hp (pSv cm2)'!$A$2)</f>
        <v>3.7516600000000002</v>
      </c>
      <c r="G193" s="67">
        <f t="shared" si="13"/>
        <v>4.6895750000000005E-4</v>
      </c>
      <c r="H193" s="83">
        <f>_xlfn.IFNA(0.997*(INDEX('Mass attenuation coefficients'!$B$2:$B$37,MATCH($C193,'Mass attenuation coefficients'!$A$2:$A$37,1))+($C193-INDEX('Mass attenuation coefficients'!$A$2:$A$37,MATCH($C193,'Mass attenuation coefficients'!$A$2:$A$37,1)))*(INDEX('Mass attenuation coefficients'!$B$2:$B$37,MATCH($C193,'Mass attenuation coefficients'!$A$2:$A$37,1)+1)-INDEX('Mass attenuation coefficients'!$B$2:$B$37,MATCH($C193,'Mass attenuation coefficients'!$A$2:$A$37,1)))/(INDEX('Mass attenuation coefficients'!$A$2:$A$37,MATCH($C193,'Mass attenuation coefficients'!$A$2:$A$37,1)+1)-INDEX('Mass attenuation coefficients'!$A$2:$A$37,MATCH($C193,'Mass attenuation coefficients'!$A$2:$A$37,1)))),0.997*$C193*'Mass attenuation coefficients'!$B$2/'Mass attenuation coefficients'!$A$2)</f>
        <v>7.8188723015000003E-2</v>
      </c>
      <c r="I193" s="83">
        <f>_xlfn.IFNA(INDEX('Shultis Faw'!$C$2:$C$26,MATCH($C193,'Shultis Faw'!$A$2:$A$26,1))+($C193-INDEX('Shultis Faw'!$A$2:$A$26,MATCH($C193,'Shultis Faw'!$A$2:$A$26,1)))*(INDEX('Shultis Faw'!$C$2:$C$26,MATCH($C193,'Shultis Faw'!$A$2:$A$26,1)+1)-INDEX('Shultis Faw'!$C$2:$C$26,MATCH($C193,'Shultis Faw'!$A$2:$A$26,1)))/(INDEX('Shultis Faw'!$A$2:$A$26,MATCH($C193,'Shultis Faw'!$A$2:$A$26,1)+1)-INDEX('Shultis Faw'!$A$2:$A$26,MATCH($C193,'Shultis Faw'!$A$2:$A$26,1))),$C193*'Shultis Faw'!$C$2/'Shultis Faw'!$A$2)</f>
        <v>2.2088935000000003</v>
      </c>
      <c r="J193" s="83">
        <f>_xlfn.IFNA(INDEX('Shultis Faw'!$D$2:$D$26,MATCH($C193,'Shultis Faw'!$A$2:$A$26,1))+($C193-INDEX('Shultis Faw'!$A$2:$A$26,MATCH($C193,'Shultis Faw'!$A$2:$A$26,1)))*(INDEX('Shultis Faw'!$D$2:$D$26,MATCH($C193,'Shultis Faw'!$A$2:$A$26,1)+1)-INDEX('Shultis Faw'!$D$2:$D$26,MATCH($C193,'Shultis Faw'!$A$2:$A$26,1)))/(INDEX('Shultis Faw'!$A$2:$A$26,MATCH($C193,'Shultis Faw'!$A$2:$A$26,1)+1)-INDEX('Shultis Faw'!$A$2:$A$26,MATCH($C193,'Shultis Faw'!$A$2:$A$26,1))),$C193*'Shultis Faw'!$D$2/'Shultis Faw'!$A$2)</f>
        <v>1.5410645000000001</v>
      </c>
      <c r="K193" s="83">
        <f>_xlfn.IFNA(INDEX('Shultis Faw'!$B$2:$B$26,MATCH($C193,'Shultis Faw'!$A$2:$A$26,1))+($C193-INDEX('Shultis Faw'!$A$2:$A$26,MATCH($C193,'Shultis Faw'!$A$2:$A$26,1)))*(INDEX('Shultis Faw'!$B$2:$B$26,MATCH($C193,'Shultis Faw'!$A$2:$A$26,1)+1)-INDEX('Shultis Faw'!$B$2:$B$26,MATCH($C193,'Shultis Faw'!$A$2:$A$26,1)))/(INDEX('Shultis Faw'!$A$2:$A$26,MATCH($C193,'Shultis Faw'!$A$2:$A$26,1)+1)-INDEX('Shultis Faw'!$A$2:$A$26,MATCH($C193,'Shultis Faw'!$A$2:$A$26,1))),$C193*'Shultis Faw'!$B$2/'Shultis Faw'!$A$2)</f>
        <v>-0.104544</v>
      </c>
      <c r="L193" s="83">
        <f>_xlfn.IFNA(INDEX('Shultis Faw'!$E$2:$E$26,MATCH($C193,'Shultis Faw'!$A$2:$A$26,1))+($C193-INDEX('Shultis Faw'!$A$2:$A$26,MATCH($C193,'Shultis Faw'!$A$2:$A$26,1)))*(INDEX('Shultis Faw'!$E$2:$E$26,MATCH($C193,'Shultis Faw'!$A$2:$A$26,1)+1)-INDEX('Shultis Faw'!$E$2:$E$26,MATCH($C193,'Shultis Faw'!$A$2:$A$26,1)))/(INDEX('Shultis Faw'!$A$2:$A$26,MATCH($C193,'Shultis Faw'!$A$2:$A$26,1)+1)-INDEX('Shultis Faw'!$A$2:$A$26,MATCH($C193,'Shultis Faw'!$A$2:$A$26,1))),$C193*'Shultis Faw'!$E$2/'Shultis Faw'!$A$2)</f>
        <v>4.3531850000000004E-2</v>
      </c>
      <c r="M193" s="83">
        <f>_xlfn.IFNA(INDEX('Shultis Faw'!$F$2:$F$26,MATCH($C193,'Shultis Faw'!$A$2:$A$26,1))+($C193-INDEX('Shultis Faw'!$A$2:$A$26,MATCH($C193,'Shultis Faw'!$A$2:$A$26,1)))*(INDEX('Shultis Faw'!$F$2:$F$26,MATCH($C193,'Shultis Faw'!$A$2:$A$26,1)+1)-INDEX('Shultis Faw'!$F$2:$F$26,MATCH($C193,'Shultis Faw'!$A$2:$A$26,1)))/(INDEX('Shultis Faw'!$A$2:$A$26,MATCH($C193,'Shultis Faw'!$A$2:$A$26,1)+1)-INDEX('Shultis Faw'!$A$2:$A$26,MATCH($C193,'Shultis Faw'!$A$2:$A$26,1))),$C193*'Shultis Faw'!$F$2/'Shultis Faw'!$A$2)</f>
        <v>14.356009999999999</v>
      </c>
      <c r="N193" s="83">
        <f>J193*(H193*'Externe blootstelling'!$D$23/2)^K193+L193*(TANH(((H193*'Externe blootstelling'!$D$23)/(2*M193))-2)-TANH(-2))/(1-TANH(-2))</f>
        <v>1.5157318200903085</v>
      </c>
      <c r="O193" s="83">
        <f>IF(N193=1,1+(I193-1)*H193*'Externe blootstelling'!$D$23/2,1+(I193-1)*(N193^(H193*'Externe blootstelling'!$D$23/2)-1)/(N193-1))</f>
        <v>2.4736807117072579</v>
      </c>
      <c r="P193" s="67">
        <f>G193*EXP(-H193*'Externe blootstelling'!$D$23/2)*O193</f>
        <v>3.590237380142724E-4</v>
      </c>
      <c r="Q193" s="68"/>
    </row>
    <row r="194" spans="1:17" x14ac:dyDescent="0.2">
      <c r="A194" s="217"/>
      <c r="B194" s="64" t="s">
        <v>104</v>
      </c>
      <c r="C194" s="66">
        <v>0.81045100000000003</v>
      </c>
      <c r="D194" s="66">
        <f t="shared" si="12"/>
        <v>1.2967215999999998E-13</v>
      </c>
      <c r="E194" s="66">
        <v>3.1700000000000001E-3</v>
      </c>
      <c r="F194" s="66">
        <f>_xlfn.IFNA(INDEX('hp (pSv cm2)'!$B$2:$B$52,MATCH($C194,'hp (pSv cm2)'!$A$2:$A$52,1))+($C194-INDEX('hp (pSv cm2)'!$A$2:$A$52,MATCH($C194,'hp (pSv cm2)'!$A$2:$A$52,1)))*(INDEX('hp (pSv cm2)'!$B$2:$B$52,MATCH($C194,'hp (pSv cm2)'!$A$2:$A$52,1)+1)-INDEX('hp (pSv cm2)'!$B$2:$B$52,MATCH($C194,'hp (pSv cm2)'!$A$2:$A$52,1)))/(INDEX('hp (pSv cm2)'!$A$2:$A$52,MATCH($C194,'hp (pSv cm2)'!$A$2:$A$52,1)+1)-INDEX('hp (pSv cm2)'!$A$2:$A$52,MATCH($C194,'hp (pSv cm2)'!$A$2:$A$52,1))),$C194*'hp (pSv cm2)'!$B$2/'hp (pSv cm2)'!$A$2)</f>
        <v>3.7697137999999999</v>
      </c>
      <c r="G194" s="67">
        <f t="shared" si="13"/>
        <v>1.1949992745999999E-2</v>
      </c>
      <c r="H194" s="83">
        <f>_xlfn.IFNA(0.997*(INDEX('Mass attenuation coefficients'!$B$2:$B$37,MATCH($C194,'Mass attenuation coefficients'!$A$2:$A$37,1))+($C194-INDEX('Mass attenuation coefficients'!$A$2:$A$37,MATCH($C194,'Mass attenuation coefficients'!$A$2:$A$37,1)))*(INDEX('Mass attenuation coefficients'!$B$2:$B$37,MATCH($C194,'Mass attenuation coefficients'!$A$2:$A$37,1)+1)-INDEX('Mass attenuation coefficients'!$B$2:$B$37,MATCH($C194,'Mass attenuation coefficients'!$A$2:$A$37,1)))/(INDEX('Mass attenuation coefficients'!$A$2:$A$37,MATCH($C194,'Mass attenuation coefficients'!$A$2:$A$37,1)+1)-INDEX('Mass attenuation coefficients'!$A$2:$A$37,MATCH($C194,'Mass attenuation coefficients'!$A$2:$A$37,1)))),0.997*$C194*'Mass attenuation coefficients'!$B$2/'Mass attenuation coefficients'!$A$2)</f>
        <v>7.8000910996449999E-2</v>
      </c>
      <c r="I194" s="83">
        <f>_xlfn.IFNA(INDEX('Shultis Faw'!$C$2:$C$26,MATCH($C194,'Shultis Faw'!$A$2:$A$26,1))+($C194-INDEX('Shultis Faw'!$A$2:$A$26,MATCH($C194,'Shultis Faw'!$A$2:$A$26,1)))*(INDEX('Shultis Faw'!$C$2:$C$26,MATCH($C194,'Shultis Faw'!$A$2:$A$26,1)+1)-INDEX('Shultis Faw'!$C$2:$C$26,MATCH($C194,'Shultis Faw'!$A$2:$A$26,1)))/(INDEX('Shultis Faw'!$A$2:$A$26,MATCH($C194,'Shultis Faw'!$A$2:$A$26,1)+1)-INDEX('Shultis Faw'!$A$2:$A$26,MATCH($C194,'Shultis Faw'!$A$2:$A$26,1))),$C194*'Shultis Faw'!$C$2/'Shultis Faw'!$A$2)</f>
        <v>2.2063042050000004</v>
      </c>
      <c r="J194" s="83">
        <f>_xlfn.IFNA(INDEX('Shultis Faw'!$D$2:$D$26,MATCH($C194,'Shultis Faw'!$A$2:$A$26,1))+($C194-INDEX('Shultis Faw'!$A$2:$A$26,MATCH($C194,'Shultis Faw'!$A$2:$A$26,1)))*(INDEX('Shultis Faw'!$D$2:$D$26,MATCH($C194,'Shultis Faw'!$A$2:$A$26,1)+1)-INDEX('Shultis Faw'!$D$2:$D$26,MATCH($C194,'Shultis Faw'!$A$2:$A$26,1)))/(INDEX('Shultis Faw'!$A$2:$A$26,MATCH($C194,'Shultis Faw'!$A$2:$A$26,1)+1)-INDEX('Shultis Faw'!$A$2:$A$26,MATCH($C194,'Shultis Faw'!$A$2:$A$26,1))),$C194*'Shultis Faw'!$D$2/'Shultis Faw'!$A$2)</f>
        <v>1.5386177350000001</v>
      </c>
      <c r="K194" s="83">
        <f>_xlfn.IFNA(INDEX('Shultis Faw'!$B$2:$B$26,MATCH($C194,'Shultis Faw'!$A$2:$A$26,1))+($C194-INDEX('Shultis Faw'!$A$2:$A$26,MATCH($C194,'Shultis Faw'!$A$2:$A$26,1)))*(INDEX('Shultis Faw'!$B$2:$B$26,MATCH($C194,'Shultis Faw'!$A$2:$A$26,1)+1)-INDEX('Shultis Faw'!$B$2:$B$26,MATCH($C194,'Shultis Faw'!$A$2:$A$26,1)))/(INDEX('Shultis Faw'!$A$2:$A$26,MATCH($C194,'Shultis Faw'!$A$2:$A$26,1)+1)-INDEX('Shultis Faw'!$A$2:$A$26,MATCH($C194,'Shultis Faw'!$A$2:$A$26,1))),$C194*'Shultis Faw'!$B$2/'Shultis Faw'!$A$2)</f>
        <v>-0.10416391999999999</v>
      </c>
      <c r="L194" s="83">
        <f>_xlfn.IFNA(INDEX('Shultis Faw'!$E$2:$E$26,MATCH($C194,'Shultis Faw'!$A$2:$A$26,1))+($C194-INDEX('Shultis Faw'!$A$2:$A$26,MATCH($C194,'Shultis Faw'!$A$2:$A$26,1)))*(INDEX('Shultis Faw'!$E$2:$E$26,MATCH($C194,'Shultis Faw'!$A$2:$A$26,1)+1)-INDEX('Shultis Faw'!$E$2:$E$26,MATCH($C194,'Shultis Faw'!$A$2:$A$26,1)))/(INDEX('Shultis Faw'!$A$2:$A$26,MATCH($C194,'Shultis Faw'!$A$2:$A$26,1)+1)-INDEX('Shultis Faw'!$A$2:$A$26,MATCH($C194,'Shultis Faw'!$A$2:$A$26,1))),$C194*'Shultis Faw'!$E$2/'Shultis Faw'!$A$2)</f>
        <v>4.3391695500000001E-2</v>
      </c>
      <c r="M194" s="83">
        <f>_xlfn.IFNA(INDEX('Shultis Faw'!$F$2:$F$26,MATCH($C194,'Shultis Faw'!$A$2:$A$26,1))+($C194-INDEX('Shultis Faw'!$A$2:$A$26,MATCH($C194,'Shultis Faw'!$A$2:$A$26,1)))*(INDEX('Shultis Faw'!$F$2:$F$26,MATCH($C194,'Shultis Faw'!$A$2:$A$26,1)+1)-INDEX('Shultis Faw'!$F$2:$F$26,MATCH($C194,'Shultis Faw'!$A$2:$A$26,1)))/(INDEX('Shultis Faw'!$A$2:$A$26,MATCH($C194,'Shultis Faw'!$A$2:$A$26,1)+1)-INDEX('Shultis Faw'!$A$2:$A$26,MATCH($C194,'Shultis Faw'!$A$2:$A$26,1))),$C194*'Shultis Faw'!$F$2/'Shultis Faw'!$A$2)</f>
        <v>14.3526843</v>
      </c>
      <c r="N194" s="83">
        <f>J194*(H194*'Externe blootstelling'!$D$23/2)^K194+L194*(TANH(((H194*'Externe blootstelling'!$D$23)/(2*M194))-2)-TANH(-2))/(1-TANH(-2))</f>
        <v>1.513795550050069</v>
      </c>
      <c r="O194" s="83">
        <f>IF(N194=1,1+(I194-1)*H194*'Externe blootstelling'!$D$23/2,1+(I194-1)*(N194^(H194*'Externe blootstelling'!$D$23/2)-1)/(N194-1))</f>
        <v>2.4658803468309145</v>
      </c>
      <c r="P194" s="67">
        <f>G194*EXP(-H194*'Externe blootstelling'!$D$23/2)*O194</f>
        <v>9.1455359764289496E-3</v>
      </c>
      <c r="Q194" s="68"/>
    </row>
    <row r="195" spans="1:17" x14ac:dyDescent="0.2">
      <c r="A195" s="217"/>
      <c r="B195" s="64" t="s">
        <v>104</v>
      </c>
      <c r="C195" s="66">
        <v>0.83935999999999999</v>
      </c>
      <c r="D195" s="66">
        <f t="shared" si="12"/>
        <v>1.342976E-13</v>
      </c>
      <c r="E195" s="66">
        <v>1.6000000000000001E-4</v>
      </c>
      <c r="F195" s="66">
        <f>_xlfn.IFNA(INDEX('hp (pSv cm2)'!$B$2:$B$52,MATCH($C195,'hp (pSv cm2)'!$A$2:$A$52,1))+($C195-INDEX('hp (pSv cm2)'!$A$2:$A$52,MATCH($C195,'hp (pSv cm2)'!$A$2:$A$52,1)))*(INDEX('hp (pSv cm2)'!$B$2:$B$52,MATCH($C195,'hp (pSv cm2)'!$A$2:$A$52,1)+1)-INDEX('hp (pSv cm2)'!$B$2:$B$52,MATCH($C195,'hp (pSv cm2)'!$A$2:$A$52,1)))/(INDEX('hp (pSv cm2)'!$A$2:$A$52,MATCH($C195,'hp (pSv cm2)'!$A$2:$A$52,1)+1)-INDEX('hp (pSv cm2)'!$A$2:$A$52,MATCH($C195,'hp (pSv cm2)'!$A$2:$A$52,1))),$C195*'hp (pSv cm2)'!$B$2/'hp (pSv cm2)'!$A$2)</f>
        <v>3.8795679999999999</v>
      </c>
      <c r="G195" s="67">
        <f t="shared" si="13"/>
        <v>6.2073088000000006E-4</v>
      </c>
      <c r="H195" s="83">
        <f>_xlfn.IFNA(0.997*(INDEX('Mass attenuation coefficients'!$B$2:$B$37,MATCH($C195,'Mass attenuation coefficients'!$A$2:$A$37,1))+($C195-INDEX('Mass attenuation coefficients'!$A$2:$A$37,MATCH($C195,'Mass attenuation coefficients'!$A$2:$A$37,1)))*(INDEX('Mass attenuation coefficients'!$B$2:$B$37,MATCH($C195,'Mass attenuation coefficients'!$A$2:$A$37,1)+1)-INDEX('Mass attenuation coefficients'!$B$2:$B$37,MATCH($C195,'Mass attenuation coefficients'!$A$2:$A$37,1)))/(INDEX('Mass attenuation coefficients'!$A$2:$A$37,MATCH($C195,'Mass attenuation coefficients'!$A$2:$A$37,1)+1)-INDEX('Mass attenuation coefficients'!$A$2:$A$37,MATCH($C195,'Mass attenuation coefficients'!$A$2:$A$37,1)))),0.997*$C195*'Mass attenuation coefficients'!$B$2/'Mass attenuation coefficients'!$A$2)</f>
        <v>7.6858107871999995E-2</v>
      </c>
      <c r="I195" s="83">
        <f>_xlfn.IFNA(INDEX('Shultis Faw'!$C$2:$C$26,MATCH($C195,'Shultis Faw'!$A$2:$A$26,1))+($C195-INDEX('Shultis Faw'!$A$2:$A$26,MATCH($C195,'Shultis Faw'!$A$2:$A$26,1)))*(INDEX('Shultis Faw'!$C$2:$C$26,MATCH($C195,'Shultis Faw'!$A$2:$A$26,1)+1)-INDEX('Shultis Faw'!$C$2:$C$26,MATCH($C195,'Shultis Faw'!$A$2:$A$26,1)))/(INDEX('Shultis Faw'!$A$2:$A$26,MATCH($C195,'Shultis Faw'!$A$2:$A$26,1)+1)-INDEX('Shultis Faw'!$A$2:$A$26,MATCH($C195,'Shultis Faw'!$A$2:$A$26,1))),$C195*'Shultis Faw'!$C$2/'Shultis Faw'!$A$2)</f>
        <v>2.1905488000000002</v>
      </c>
      <c r="J195" s="83">
        <f>_xlfn.IFNA(INDEX('Shultis Faw'!$D$2:$D$26,MATCH($C195,'Shultis Faw'!$A$2:$A$26,1))+($C195-INDEX('Shultis Faw'!$A$2:$A$26,MATCH($C195,'Shultis Faw'!$A$2:$A$26,1)))*(INDEX('Shultis Faw'!$D$2:$D$26,MATCH($C195,'Shultis Faw'!$A$2:$A$26,1)+1)-INDEX('Shultis Faw'!$D$2:$D$26,MATCH($C195,'Shultis Faw'!$A$2:$A$26,1)))/(INDEX('Shultis Faw'!$A$2:$A$26,MATCH($C195,'Shultis Faw'!$A$2:$A$26,1)+1)-INDEX('Shultis Faw'!$A$2:$A$26,MATCH($C195,'Shultis Faw'!$A$2:$A$26,1))),$C195*'Shultis Faw'!$D$2/'Shultis Faw'!$A$2)</f>
        <v>1.5237296</v>
      </c>
      <c r="K195" s="83">
        <f>_xlfn.IFNA(INDEX('Shultis Faw'!$B$2:$B$26,MATCH($C195,'Shultis Faw'!$A$2:$A$26,1))+($C195-INDEX('Shultis Faw'!$A$2:$A$26,MATCH($C195,'Shultis Faw'!$A$2:$A$26,1)))*(INDEX('Shultis Faw'!$B$2:$B$26,MATCH($C195,'Shultis Faw'!$A$2:$A$26,1)+1)-INDEX('Shultis Faw'!$B$2:$B$26,MATCH($C195,'Shultis Faw'!$A$2:$A$26,1)))/(INDEX('Shultis Faw'!$A$2:$A$26,MATCH($C195,'Shultis Faw'!$A$2:$A$26,1)+1)-INDEX('Shultis Faw'!$A$2:$A$26,MATCH($C195,'Shultis Faw'!$A$2:$A$26,1))),$C195*'Shultis Faw'!$B$2/'Shultis Faw'!$A$2)</f>
        <v>-0.1018512</v>
      </c>
      <c r="L195" s="83">
        <f>_xlfn.IFNA(INDEX('Shultis Faw'!$E$2:$E$26,MATCH($C195,'Shultis Faw'!$A$2:$A$26,1))+($C195-INDEX('Shultis Faw'!$A$2:$A$26,MATCH($C195,'Shultis Faw'!$A$2:$A$26,1)))*(INDEX('Shultis Faw'!$E$2:$E$26,MATCH($C195,'Shultis Faw'!$A$2:$A$26,1)+1)-INDEX('Shultis Faw'!$E$2:$E$26,MATCH($C195,'Shultis Faw'!$A$2:$A$26,1)))/(INDEX('Shultis Faw'!$A$2:$A$26,MATCH($C195,'Shultis Faw'!$A$2:$A$26,1)+1)-INDEX('Shultis Faw'!$A$2:$A$26,MATCH($C195,'Shultis Faw'!$A$2:$A$26,1))),$C195*'Shultis Faw'!$E$2/'Shultis Faw'!$A$2)</f>
        <v>4.2538880000000001E-2</v>
      </c>
      <c r="M195" s="83">
        <f>_xlfn.IFNA(INDEX('Shultis Faw'!$F$2:$F$26,MATCH($C195,'Shultis Faw'!$A$2:$A$26,1))+($C195-INDEX('Shultis Faw'!$A$2:$A$26,MATCH($C195,'Shultis Faw'!$A$2:$A$26,1)))*(INDEX('Shultis Faw'!$F$2:$F$26,MATCH($C195,'Shultis Faw'!$A$2:$A$26,1)+1)-INDEX('Shultis Faw'!$F$2:$F$26,MATCH($C195,'Shultis Faw'!$A$2:$A$26,1)))/(INDEX('Shultis Faw'!$A$2:$A$26,MATCH($C195,'Shultis Faw'!$A$2:$A$26,1)+1)-INDEX('Shultis Faw'!$A$2:$A$26,MATCH($C195,'Shultis Faw'!$A$2:$A$26,1))),$C195*'Shultis Faw'!$F$2/'Shultis Faw'!$A$2)</f>
        <v>14.332447999999999</v>
      </c>
      <c r="N195" s="83">
        <f>J195*(H195*'Externe blootstelling'!$D$23/2)^K195+L195*(TANH(((H195*'Externe blootstelling'!$D$23)/(2*M195))-2)-TANH(-2))/(1-TANH(-2))</f>
        <v>1.5019446760912367</v>
      </c>
      <c r="O195" s="83">
        <f>IF(N195=1,1+(I195-1)*H195*'Externe blootstelling'!$D$23/2,1+(I195-1)*(N195^(H195*'Externe blootstelling'!$D$23/2)-1)/(N195-1))</f>
        <v>2.4191001585898015</v>
      </c>
      <c r="P195" s="67">
        <f>G195*EXP(-H195*'Externe blootstelling'!$D$23/2)*O195</f>
        <v>4.7410159781603457E-4</v>
      </c>
      <c r="Q195" s="68"/>
    </row>
    <row r="196" spans="1:17" x14ac:dyDescent="0.2">
      <c r="A196" s="217"/>
      <c r="B196" s="64" t="s">
        <v>104</v>
      </c>
      <c r="C196" s="66">
        <v>0.84157399999999993</v>
      </c>
      <c r="D196" s="66">
        <f t="shared" ref="D196:D227" si="14">C196*1000000*1.6E-19</f>
        <v>1.3465183999999998E-13</v>
      </c>
      <c r="E196" s="66">
        <v>1.6300000000000002E-3</v>
      </c>
      <c r="F196" s="66">
        <f>_xlfn.IFNA(INDEX('hp (pSv cm2)'!$B$2:$B$52,MATCH($C196,'hp (pSv cm2)'!$A$2:$A$52,1))+($C196-INDEX('hp (pSv cm2)'!$A$2:$A$52,MATCH($C196,'hp (pSv cm2)'!$A$2:$A$52,1)))*(INDEX('hp (pSv cm2)'!$B$2:$B$52,MATCH($C196,'hp (pSv cm2)'!$A$2:$A$52,1)+1)-INDEX('hp (pSv cm2)'!$B$2:$B$52,MATCH($C196,'hp (pSv cm2)'!$A$2:$A$52,1)))/(INDEX('hp (pSv cm2)'!$A$2:$A$52,MATCH($C196,'hp (pSv cm2)'!$A$2:$A$52,1)+1)-INDEX('hp (pSv cm2)'!$A$2:$A$52,MATCH($C196,'hp (pSv cm2)'!$A$2:$A$52,1))),$C196*'hp (pSv cm2)'!$B$2/'hp (pSv cm2)'!$A$2)</f>
        <v>3.8879811999999996</v>
      </c>
      <c r="G196" s="67">
        <f t="shared" ref="G196:G227" si="15">F196*E196</f>
        <v>6.3374093559999999E-3</v>
      </c>
      <c r="H196" s="83">
        <f>_xlfn.IFNA(0.997*(INDEX('Mass attenuation coefficients'!$B$2:$B$37,MATCH($C196,'Mass attenuation coefficients'!$A$2:$A$37,1))+($C196-INDEX('Mass attenuation coefficients'!$A$2:$A$37,MATCH($C196,'Mass attenuation coefficients'!$A$2:$A$37,1)))*(INDEX('Mass attenuation coefficients'!$B$2:$B$37,MATCH($C196,'Mass attenuation coefficients'!$A$2:$A$37,1)+1)-INDEX('Mass attenuation coefficients'!$B$2:$B$37,MATCH($C196,'Mass attenuation coefficients'!$A$2:$A$37,1)))/(INDEX('Mass attenuation coefficients'!$A$2:$A$37,MATCH($C196,'Mass attenuation coefficients'!$A$2:$A$37,1)+1)-INDEX('Mass attenuation coefficients'!$A$2:$A$37,MATCH($C196,'Mass attenuation coefficients'!$A$2:$A$37,1)))),0.997*$C196*'Mass attenuation coefficients'!$B$2/'Mass attenuation coefficients'!$A$2)</f>
        <v>7.6770586127300006E-2</v>
      </c>
      <c r="I196" s="83">
        <f>_xlfn.IFNA(INDEX('Shultis Faw'!$C$2:$C$26,MATCH($C196,'Shultis Faw'!$A$2:$A$26,1))+($C196-INDEX('Shultis Faw'!$A$2:$A$26,MATCH($C196,'Shultis Faw'!$A$2:$A$26,1)))*(INDEX('Shultis Faw'!$C$2:$C$26,MATCH($C196,'Shultis Faw'!$A$2:$A$26,1)+1)-INDEX('Shultis Faw'!$C$2:$C$26,MATCH($C196,'Shultis Faw'!$A$2:$A$26,1)))/(INDEX('Shultis Faw'!$A$2:$A$26,MATCH($C196,'Shultis Faw'!$A$2:$A$26,1)+1)-INDEX('Shultis Faw'!$A$2:$A$26,MATCH($C196,'Shultis Faw'!$A$2:$A$26,1))),$C196*'Shultis Faw'!$C$2/'Shultis Faw'!$A$2)</f>
        <v>2.1893421700000002</v>
      </c>
      <c r="J196" s="83">
        <f>_xlfn.IFNA(INDEX('Shultis Faw'!$D$2:$D$26,MATCH($C196,'Shultis Faw'!$A$2:$A$26,1))+($C196-INDEX('Shultis Faw'!$A$2:$A$26,MATCH($C196,'Shultis Faw'!$A$2:$A$26,1)))*(INDEX('Shultis Faw'!$D$2:$D$26,MATCH($C196,'Shultis Faw'!$A$2:$A$26,1)+1)-INDEX('Shultis Faw'!$D$2:$D$26,MATCH($C196,'Shultis Faw'!$A$2:$A$26,1)))/(INDEX('Shultis Faw'!$A$2:$A$26,MATCH($C196,'Shultis Faw'!$A$2:$A$26,1)+1)-INDEX('Shultis Faw'!$A$2:$A$26,MATCH($C196,'Shultis Faw'!$A$2:$A$26,1))),$C196*'Shultis Faw'!$D$2/'Shultis Faw'!$A$2)</f>
        <v>1.52258939</v>
      </c>
      <c r="K196" s="83">
        <f>_xlfn.IFNA(INDEX('Shultis Faw'!$B$2:$B$26,MATCH($C196,'Shultis Faw'!$A$2:$A$26,1))+($C196-INDEX('Shultis Faw'!$A$2:$A$26,MATCH($C196,'Shultis Faw'!$A$2:$A$26,1)))*(INDEX('Shultis Faw'!$B$2:$B$26,MATCH($C196,'Shultis Faw'!$A$2:$A$26,1)+1)-INDEX('Shultis Faw'!$B$2:$B$26,MATCH($C196,'Shultis Faw'!$A$2:$A$26,1)))/(INDEX('Shultis Faw'!$A$2:$A$26,MATCH($C196,'Shultis Faw'!$A$2:$A$26,1)+1)-INDEX('Shultis Faw'!$A$2:$A$26,MATCH($C196,'Shultis Faw'!$A$2:$A$26,1))),$C196*'Shultis Faw'!$B$2/'Shultis Faw'!$A$2)</f>
        <v>-0.10167408</v>
      </c>
      <c r="L196" s="83">
        <f>_xlfn.IFNA(INDEX('Shultis Faw'!$E$2:$E$26,MATCH($C196,'Shultis Faw'!$A$2:$A$26,1))+($C196-INDEX('Shultis Faw'!$A$2:$A$26,MATCH($C196,'Shultis Faw'!$A$2:$A$26,1)))*(INDEX('Shultis Faw'!$E$2:$E$26,MATCH($C196,'Shultis Faw'!$A$2:$A$26,1)+1)-INDEX('Shultis Faw'!$E$2:$E$26,MATCH($C196,'Shultis Faw'!$A$2:$A$26,1)))/(INDEX('Shultis Faw'!$A$2:$A$26,MATCH($C196,'Shultis Faw'!$A$2:$A$26,1)+1)-INDEX('Shultis Faw'!$A$2:$A$26,MATCH($C196,'Shultis Faw'!$A$2:$A$26,1))),$C196*'Shultis Faw'!$E$2/'Shultis Faw'!$A$2)</f>
        <v>4.2473567000000004E-2</v>
      </c>
      <c r="M196" s="83">
        <f>_xlfn.IFNA(INDEX('Shultis Faw'!$F$2:$F$26,MATCH($C196,'Shultis Faw'!$A$2:$A$26,1))+($C196-INDEX('Shultis Faw'!$A$2:$A$26,MATCH($C196,'Shultis Faw'!$A$2:$A$26,1)))*(INDEX('Shultis Faw'!$F$2:$F$26,MATCH($C196,'Shultis Faw'!$A$2:$A$26,1)+1)-INDEX('Shultis Faw'!$F$2:$F$26,MATCH($C196,'Shultis Faw'!$A$2:$A$26,1)))/(INDEX('Shultis Faw'!$A$2:$A$26,MATCH($C196,'Shultis Faw'!$A$2:$A$26,1)+1)-INDEX('Shultis Faw'!$A$2:$A$26,MATCH($C196,'Shultis Faw'!$A$2:$A$26,1))),$C196*'Shultis Faw'!$F$2/'Shultis Faw'!$A$2)</f>
        <v>14.3308982</v>
      </c>
      <c r="N196" s="83">
        <f>J196*(H196*'Externe blootstelling'!$D$23/2)^K196+L196*(TANH(((H196*'Externe blootstelling'!$D$23)/(2*M196))-2)-TANH(-2))/(1-TANH(-2))</f>
        <v>1.501032191798823</v>
      </c>
      <c r="O196" s="83">
        <f>IF(N196=1,1+(I196-1)*H196*'Externe blootstelling'!$D$23/2,1+(I196-1)*(N196^(H196*'Externe blootstelling'!$D$23/2)-1)/(N196-1))</f>
        <v>2.4155654453565307</v>
      </c>
      <c r="P196" s="67">
        <f>G196*EXP(-H196*'Externe blootstelling'!$D$23/2)*O196</f>
        <v>4.8396609792562741E-3</v>
      </c>
      <c r="Q196" s="68"/>
    </row>
    <row r="197" spans="1:17" x14ac:dyDescent="0.2">
      <c r="A197" s="217"/>
      <c r="B197" s="64" t="s">
        <v>104</v>
      </c>
      <c r="C197" s="66">
        <v>0.86738000000000004</v>
      </c>
      <c r="D197" s="66">
        <f t="shared" si="14"/>
        <v>1.387808E-13</v>
      </c>
      <c r="E197" s="66">
        <v>4.2430000000000002E-2</v>
      </c>
      <c r="F197" s="66">
        <f>_xlfn.IFNA(INDEX('hp (pSv cm2)'!$B$2:$B$52,MATCH($C197,'hp (pSv cm2)'!$A$2:$A$52,1))+($C197-INDEX('hp (pSv cm2)'!$A$2:$A$52,MATCH($C197,'hp (pSv cm2)'!$A$2:$A$52,1)))*(INDEX('hp (pSv cm2)'!$B$2:$B$52,MATCH($C197,'hp (pSv cm2)'!$A$2:$A$52,1)+1)-INDEX('hp (pSv cm2)'!$B$2:$B$52,MATCH($C197,'hp (pSv cm2)'!$A$2:$A$52,1)))/(INDEX('hp (pSv cm2)'!$A$2:$A$52,MATCH($C197,'hp (pSv cm2)'!$A$2:$A$52,1)+1)-INDEX('hp (pSv cm2)'!$A$2:$A$52,MATCH($C197,'hp (pSv cm2)'!$A$2:$A$52,1))),$C197*'hp (pSv cm2)'!$B$2/'hp (pSv cm2)'!$A$2)</f>
        <v>3.9860440000000001</v>
      </c>
      <c r="G197" s="67">
        <f t="shared" si="15"/>
        <v>0.16912784692000002</v>
      </c>
      <c r="H197" s="83">
        <f>_xlfn.IFNA(0.997*(INDEX('Mass attenuation coefficients'!$B$2:$B$37,MATCH($C197,'Mass attenuation coefficients'!$A$2:$A$37,1))+($C197-INDEX('Mass attenuation coefficients'!$A$2:$A$37,MATCH($C197,'Mass attenuation coefficients'!$A$2:$A$37,1)))*(INDEX('Mass attenuation coefficients'!$B$2:$B$37,MATCH($C197,'Mass attenuation coefficients'!$A$2:$A$37,1)+1)-INDEX('Mass attenuation coefficients'!$B$2:$B$37,MATCH($C197,'Mass attenuation coefficients'!$A$2:$A$37,1)))/(INDEX('Mass attenuation coefficients'!$A$2:$A$37,MATCH($C197,'Mass attenuation coefficients'!$A$2:$A$37,1)+1)-INDEX('Mass attenuation coefficients'!$A$2:$A$37,MATCH($C197,'Mass attenuation coefficients'!$A$2:$A$37,1)))),0.997*$C197*'Mass attenuation coefficients'!$B$2/'Mass attenuation coefficients'!$A$2)</f>
        <v>7.5750447850999991E-2</v>
      </c>
      <c r="I197" s="83">
        <f>_xlfn.IFNA(INDEX('Shultis Faw'!$C$2:$C$26,MATCH($C197,'Shultis Faw'!$A$2:$A$26,1))+($C197-INDEX('Shultis Faw'!$A$2:$A$26,MATCH($C197,'Shultis Faw'!$A$2:$A$26,1)))*(INDEX('Shultis Faw'!$C$2:$C$26,MATCH($C197,'Shultis Faw'!$A$2:$A$26,1)+1)-INDEX('Shultis Faw'!$C$2:$C$26,MATCH($C197,'Shultis Faw'!$A$2:$A$26,1)))/(INDEX('Shultis Faw'!$A$2:$A$26,MATCH($C197,'Shultis Faw'!$A$2:$A$26,1)+1)-INDEX('Shultis Faw'!$A$2:$A$26,MATCH($C197,'Shultis Faw'!$A$2:$A$26,1))),$C197*'Shultis Faw'!$C$2/'Shultis Faw'!$A$2)</f>
        <v>2.1752779000000002</v>
      </c>
      <c r="J197" s="83">
        <f>_xlfn.IFNA(INDEX('Shultis Faw'!$D$2:$D$26,MATCH($C197,'Shultis Faw'!$A$2:$A$26,1))+($C197-INDEX('Shultis Faw'!$A$2:$A$26,MATCH($C197,'Shultis Faw'!$A$2:$A$26,1)))*(INDEX('Shultis Faw'!$D$2:$D$26,MATCH($C197,'Shultis Faw'!$A$2:$A$26,1)+1)-INDEX('Shultis Faw'!$D$2:$D$26,MATCH($C197,'Shultis Faw'!$A$2:$A$26,1)))/(INDEX('Shultis Faw'!$A$2:$A$26,MATCH($C197,'Shultis Faw'!$A$2:$A$26,1)+1)-INDEX('Shultis Faw'!$A$2:$A$26,MATCH($C197,'Shultis Faw'!$A$2:$A$26,1))),$C197*'Shultis Faw'!$D$2/'Shultis Faw'!$A$2)</f>
        <v>1.5092993000000001</v>
      </c>
      <c r="K197" s="83">
        <f>_xlfn.IFNA(INDEX('Shultis Faw'!$B$2:$B$26,MATCH($C197,'Shultis Faw'!$A$2:$A$26,1))+($C197-INDEX('Shultis Faw'!$A$2:$A$26,MATCH($C197,'Shultis Faw'!$A$2:$A$26,1)))*(INDEX('Shultis Faw'!$B$2:$B$26,MATCH($C197,'Shultis Faw'!$A$2:$A$26,1)+1)-INDEX('Shultis Faw'!$B$2:$B$26,MATCH($C197,'Shultis Faw'!$A$2:$A$26,1)))/(INDEX('Shultis Faw'!$A$2:$A$26,MATCH($C197,'Shultis Faw'!$A$2:$A$26,1)+1)-INDEX('Shultis Faw'!$A$2:$A$26,MATCH($C197,'Shultis Faw'!$A$2:$A$26,1))),$C197*'Shultis Faw'!$B$2/'Shultis Faw'!$A$2)</f>
        <v>-9.9609599999999993E-2</v>
      </c>
      <c r="L197" s="83">
        <f>_xlfn.IFNA(INDEX('Shultis Faw'!$E$2:$E$26,MATCH($C197,'Shultis Faw'!$A$2:$A$26,1))+($C197-INDEX('Shultis Faw'!$A$2:$A$26,MATCH($C197,'Shultis Faw'!$A$2:$A$26,1)))*(INDEX('Shultis Faw'!$E$2:$E$26,MATCH($C197,'Shultis Faw'!$A$2:$A$26,1)+1)-INDEX('Shultis Faw'!$E$2:$E$26,MATCH($C197,'Shultis Faw'!$A$2:$A$26,1)))/(INDEX('Shultis Faw'!$A$2:$A$26,MATCH($C197,'Shultis Faw'!$A$2:$A$26,1)+1)-INDEX('Shultis Faw'!$A$2:$A$26,MATCH($C197,'Shultis Faw'!$A$2:$A$26,1))),$C197*'Shultis Faw'!$E$2/'Shultis Faw'!$A$2)</f>
        <v>4.1712289999999999E-2</v>
      </c>
      <c r="M197" s="83">
        <f>_xlfn.IFNA(INDEX('Shultis Faw'!$F$2:$F$26,MATCH($C197,'Shultis Faw'!$A$2:$A$26,1))+($C197-INDEX('Shultis Faw'!$A$2:$A$26,MATCH($C197,'Shultis Faw'!$A$2:$A$26,1)))*(INDEX('Shultis Faw'!$F$2:$F$26,MATCH($C197,'Shultis Faw'!$A$2:$A$26,1)+1)-INDEX('Shultis Faw'!$F$2:$F$26,MATCH($C197,'Shultis Faw'!$A$2:$A$26,1)))/(INDEX('Shultis Faw'!$A$2:$A$26,MATCH($C197,'Shultis Faw'!$A$2:$A$26,1)+1)-INDEX('Shultis Faw'!$A$2:$A$26,MATCH($C197,'Shultis Faw'!$A$2:$A$26,1))),$C197*'Shultis Faw'!$F$2/'Shultis Faw'!$A$2)</f>
        <v>14.312834000000001</v>
      </c>
      <c r="N197" s="83">
        <f>J197*(H197*'Externe blootstelling'!$D$23/2)^K197+L197*(TANH(((H197*'Externe blootstelling'!$D$23)/(2*M197))-2)-TANH(-2))/(1-TANH(-2))</f>
        <v>1.4903452491976694</v>
      </c>
      <c r="O197" s="83">
        <f>IF(N197=1,1+(I197-1)*H197*'Externe blootstelling'!$D$23/2,1+(I197-1)*(N197^(H197*'Externe blootstelling'!$D$23/2)-1)/(N197-1))</f>
        <v>2.374861124914867</v>
      </c>
      <c r="P197" s="67">
        <f>G197*EXP(-H197*'Externe blootstelling'!$D$23/2)*O197</f>
        <v>0.12893870854195186</v>
      </c>
      <c r="Q197" s="68"/>
    </row>
    <row r="198" spans="1:17" x14ac:dyDescent="0.2">
      <c r="A198" s="217"/>
      <c r="B198" s="64" t="s">
        <v>104</v>
      </c>
      <c r="C198" s="66">
        <v>0.89658000000000004</v>
      </c>
      <c r="D198" s="66">
        <f t="shared" si="14"/>
        <v>1.4345279999999999E-13</v>
      </c>
      <c r="E198" s="66">
        <v>6.69E-4</v>
      </c>
      <c r="F198" s="66">
        <f>_xlfn.IFNA(INDEX('hp (pSv cm2)'!$B$2:$B$52,MATCH($C198,'hp (pSv cm2)'!$A$2:$A$52,1))+($C198-INDEX('hp (pSv cm2)'!$A$2:$A$52,MATCH($C198,'hp (pSv cm2)'!$A$2:$A$52,1)))*(INDEX('hp (pSv cm2)'!$B$2:$B$52,MATCH($C198,'hp (pSv cm2)'!$A$2:$A$52,1)+1)-INDEX('hp (pSv cm2)'!$B$2:$B$52,MATCH($C198,'hp (pSv cm2)'!$A$2:$A$52,1)))/(INDEX('hp (pSv cm2)'!$A$2:$A$52,MATCH($C198,'hp (pSv cm2)'!$A$2:$A$52,1)+1)-INDEX('hp (pSv cm2)'!$A$2:$A$52,MATCH($C198,'hp (pSv cm2)'!$A$2:$A$52,1))),$C198*'hp (pSv cm2)'!$B$2/'hp (pSv cm2)'!$A$2)</f>
        <v>4.0970040000000001</v>
      </c>
      <c r="G198" s="67">
        <f t="shared" si="15"/>
        <v>2.740895676E-3</v>
      </c>
      <c r="H198" s="83">
        <f>_xlfn.IFNA(0.997*(INDEX('Mass attenuation coefficients'!$B$2:$B$37,MATCH($C198,'Mass attenuation coefficients'!$A$2:$A$37,1))+($C198-INDEX('Mass attenuation coefficients'!$A$2:$A$37,MATCH($C198,'Mass attenuation coefficients'!$A$2:$A$37,1)))*(INDEX('Mass attenuation coefficients'!$B$2:$B$37,MATCH($C198,'Mass attenuation coefficients'!$A$2:$A$37,1)+1)-INDEX('Mass attenuation coefficients'!$B$2:$B$37,MATCH($C198,'Mass attenuation coefficients'!$A$2:$A$37,1)))/(INDEX('Mass attenuation coefficients'!$A$2:$A$37,MATCH($C198,'Mass attenuation coefficients'!$A$2:$A$37,1)+1)-INDEX('Mass attenuation coefficients'!$A$2:$A$37,MATCH($C198,'Mass attenuation coefficients'!$A$2:$A$37,1)))),0.997*$C198*'Mass attenuation coefficients'!$B$2/'Mass attenuation coefficients'!$A$2)</f>
        <v>7.4596141190999998E-2</v>
      </c>
      <c r="I198" s="83">
        <f>_xlfn.IFNA(INDEX('Shultis Faw'!$C$2:$C$26,MATCH($C198,'Shultis Faw'!$A$2:$A$26,1))+($C198-INDEX('Shultis Faw'!$A$2:$A$26,MATCH($C198,'Shultis Faw'!$A$2:$A$26,1)))*(INDEX('Shultis Faw'!$C$2:$C$26,MATCH($C198,'Shultis Faw'!$A$2:$A$26,1)+1)-INDEX('Shultis Faw'!$C$2:$C$26,MATCH($C198,'Shultis Faw'!$A$2:$A$26,1)))/(INDEX('Shultis Faw'!$A$2:$A$26,MATCH($C198,'Shultis Faw'!$A$2:$A$26,1)+1)-INDEX('Shultis Faw'!$A$2:$A$26,MATCH($C198,'Shultis Faw'!$A$2:$A$26,1))),$C198*'Shultis Faw'!$C$2/'Shultis Faw'!$A$2)</f>
        <v>2.1593639000000002</v>
      </c>
      <c r="J198" s="83">
        <f>_xlfn.IFNA(INDEX('Shultis Faw'!$D$2:$D$26,MATCH($C198,'Shultis Faw'!$A$2:$A$26,1))+($C198-INDEX('Shultis Faw'!$A$2:$A$26,MATCH($C198,'Shultis Faw'!$A$2:$A$26,1)))*(INDEX('Shultis Faw'!$D$2:$D$26,MATCH($C198,'Shultis Faw'!$A$2:$A$26,1)+1)-INDEX('Shultis Faw'!$D$2:$D$26,MATCH($C198,'Shultis Faw'!$A$2:$A$26,1)))/(INDEX('Shultis Faw'!$A$2:$A$26,MATCH($C198,'Shultis Faw'!$A$2:$A$26,1)+1)-INDEX('Shultis Faw'!$A$2:$A$26,MATCH($C198,'Shultis Faw'!$A$2:$A$26,1))),$C198*'Shultis Faw'!$D$2/'Shultis Faw'!$A$2)</f>
        <v>1.4942613</v>
      </c>
      <c r="K198" s="83">
        <f>_xlfn.IFNA(INDEX('Shultis Faw'!$B$2:$B$26,MATCH($C198,'Shultis Faw'!$A$2:$A$26,1))+($C198-INDEX('Shultis Faw'!$A$2:$A$26,MATCH($C198,'Shultis Faw'!$A$2:$A$26,1)))*(INDEX('Shultis Faw'!$B$2:$B$26,MATCH($C198,'Shultis Faw'!$A$2:$A$26,1)+1)-INDEX('Shultis Faw'!$B$2:$B$26,MATCH($C198,'Shultis Faw'!$A$2:$A$26,1)))/(INDEX('Shultis Faw'!$A$2:$A$26,MATCH($C198,'Shultis Faw'!$A$2:$A$26,1)+1)-INDEX('Shultis Faw'!$A$2:$A$26,MATCH($C198,'Shultis Faw'!$A$2:$A$26,1))),$C198*'Shultis Faw'!$B$2/'Shultis Faw'!$A$2)</f>
        <v>-9.7273599999999988E-2</v>
      </c>
      <c r="L198" s="83">
        <f>_xlfn.IFNA(INDEX('Shultis Faw'!$E$2:$E$26,MATCH($C198,'Shultis Faw'!$A$2:$A$26,1))+($C198-INDEX('Shultis Faw'!$A$2:$A$26,MATCH($C198,'Shultis Faw'!$A$2:$A$26,1)))*(INDEX('Shultis Faw'!$E$2:$E$26,MATCH($C198,'Shultis Faw'!$A$2:$A$26,1)+1)-INDEX('Shultis Faw'!$E$2:$E$26,MATCH($C198,'Shultis Faw'!$A$2:$A$26,1)))/(INDEX('Shultis Faw'!$A$2:$A$26,MATCH($C198,'Shultis Faw'!$A$2:$A$26,1)+1)-INDEX('Shultis Faw'!$A$2:$A$26,MATCH($C198,'Shultis Faw'!$A$2:$A$26,1))),$C198*'Shultis Faw'!$E$2/'Shultis Faw'!$A$2)</f>
        <v>4.0850890000000001E-2</v>
      </c>
      <c r="M198" s="83">
        <f>_xlfn.IFNA(INDEX('Shultis Faw'!$F$2:$F$26,MATCH($C198,'Shultis Faw'!$A$2:$A$26,1))+($C198-INDEX('Shultis Faw'!$A$2:$A$26,MATCH($C198,'Shultis Faw'!$A$2:$A$26,1)))*(INDEX('Shultis Faw'!$F$2:$F$26,MATCH($C198,'Shultis Faw'!$A$2:$A$26,1)+1)-INDEX('Shultis Faw'!$F$2:$F$26,MATCH($C198,'Shultis Faw'!$A$2:$A$26,1)))/(INDEX('Shultis Faw'!$A$2:$A$26,MATCH($C198,'Shultis Faw'!$A$2:$A$26,1)+1)-INDEX('Shultis Faw'!$A$2:$A$26,MATCH($C198,'Shultis Faw'!$A$2:$A$26,1))),$C198*'Shultis Faw'!$F$2/'Shultis Faw'!$A$2)</f>
        <v>14.292394</v>
      </c>
      <c r="N198" s="83">
        <f>J198*(H198*'Externe blootstelling'!$D$23/2)^K198+L198*(TANH(((H198*'Externe blootstelling'!$D$23)/(2*M198))-2)-TANH(-2))/(1-TANH(-2))</f>
        <v>1.4781392120902077</v>
      </c>
      <c r="O198" s="83">
        <f>IF(N198=1,1+(I198-1)*H198*'Externe blootstelling'!$D$23/2,1+(I198-1)*(N198^(H198*'Externe blootstelling'!$D$23/2)-1)/(N198-1))</f>
        <v>2.3298878736707724</v>
      </c>
      <c r="P198" s="67">
        <f>G198*EXP(-H198*'Externe blootstelling'!$D$23/2)*O198</f>
        <v>2.085821498443254E-3</v>
      </c>
      <c r="Q198" s="68"/>
    </row>
    <row r="199" spans="1:17" x14ac:dyDescent="0.2">
      <c r="A199" s="217"/>
      <c r="B199" s="64" t="s">
        <v>104</v>
      </c>
      <c r="C199" s="66">
        <v>0.90118100000000001</v>
      </c>
      <c r="D199" s="66">
        <f t="shared" si="14"/>
        <v>1.4418896E-13</v>
      </c>
      <c r="E199" s="66">
        <v>8.4000000000000003E-4</v>
      </c>
      <c r="F199" s="66">
        <f>_xlfn.IFNA(INDEX('hp (pSv cm2)'!$B$2:$B$52,MATCH($C199,'hp (pSv cm2)'!$A$2:$A$52,1))+($C199-INDEX('hp (pSv cm2)'!$A$2:$A$52,MATCH($C199,'hp (pSv cm2)'!$A$2:$A$52,1)))*(INDEX('hp (pSv cm2)'!$B$2:$B$52,MATCH($C199,'hp (pSv cm2)'!$A$2:$A$52,1)+1)-INDEX('hp (pSv cm2)'!$B$2:$B$52,MATCH($C199,'hp (pSv cm2)'!$A$2:$A$52,1)))/(INDEX('hp (pSv cm2)'!$A$2:$A$52,MATCH($C199,'hp (pSv cm2)'!$A$2:$A$52,1)+1)-INDEX('hp (pSv cm2)'!$A$2:$A$52,MATCH($C199,'hp (pSv cm2)'!$A$2:$A$52,1))),$C199*'hp (pSv cm2)'!$B$2/'hp (pSv cm2)'!$A$2)</f>
        <v>4.1144878</v>
      </c>
      <c r="G199" s="67">
        <f t="shared" si="15"/>
        <v>3.4561697520000003E-3</v>
      </c>
      <c r="H199" s="83">
        <f>_xlfn.IFNA(0.997*(INDEX('Mass attenuation coefficients'!$B$2:$B$37,MATCH($C199,'Mass attenuation coefficients'!$A$2:$A$37,1))+($C199-INDEX('Mass attenuation coefficients'!$A$2:$A$37,MATCH($C199,'Mass attenuation coefficients'!$A$2:$A$37,1)))*(INDEX('Mass attenuation coefficients'!$B$2:$B$37,MATCH($C199,'Mass attenuation coefficients'!$A$2:$A$37,1)+1)-INDEX('Mass attenuation coefficients'!$B$2:$B$37,MATCH($C199,'Mass attenuation coefficients'!$A$2:$A$37,1)))/(INDEX('Mass attenuation coefficients'!$A$2:$A$37,MATCH($C199,'Mass attenuation coefficients'!$A$2:$A$37,1)+1)-INDEX('Mass attenuation coefficients'!$A$2:$A$37,MATCH($C199,'Mass attenuation coefficients'!$A$2:$A$37,1)))),0.997*$C199*'Mass attenuation coefficients'!$B$2/'Mass attenuation coefficients'!$A$2)</f>
        <v>7.4414258829950009E-2</v>
      </c>
      <c r="I199" s="83">
        <f>_xlfn.IFNA(INDEX('Shultis Faw'!$C$2:$C$26,MATCH($C199,'Shultis Faw'!$A$2:$A$26,1))+($C199-INDEX('Shultis Faw'!$A$2:$A$26,MATCH($C199,'Shultis Faw'!$A$2:$A$26,1)))*(INDEX('Shultis Faw'!$C$2:$C$26,MATCH($C199,'Shultis Faw'!$A$2:$A$26,1)+1)-INDEX('Shultis Faw'!$C$2:$C$26,MATCH($C199,'Shultis Faw'!$A$2:$A$26,1)))/(INDEX('Shultis Faw'!$A$2:$A$26,MATCH($C199,'Shultis Faw'!$A$2:$A$26,1)+1)-INDEX('Shultis Faw'!$A$2:$A$26,MATCH($C199,'Shultis Faw'!$A$2:$A$26,1))),$C199*'Shultis Faw'!$C$2/'Shultis Faw'!$A$2)</f>
        <v>2.1568563550000004</v>
      </c>
      <c r="J199" s="83">
        <f>_xlfn.IFNA(INDEX('Shultis Faw'!$D$2:$D$26,MATCH($C199,'Shultis Faw'!$A$2:$A$26,1))+($C199-INDEX('Shultis Faw'!$A$2:$A$26,MATCH($C199,'Shultis Faw'!$A$2:$A$26,1)))*(INDEX('Shultis Faw'!$D$2:$D$26,MATCH($C199,'Shultis Faw'!$A$2:$A$26,1)+1)-INDEX('Shultis Faw'!$D$2:$D$26,MATCH($C199,'Shultis Faw'!$A$2:$A$26,1)))/(INDEX('Shultis Faw'!$A$2:$A$26,MATCH($C199,'Shultis Faw'!$A$2:$A$26,1)+1)-INDEX('Shultis Faw'!$A$2:$A$26,MATCH($C199,'Shultis Faw'!$A$2:$A$26,1))),$C199*'Shultis Faw'!$D$2/'Shultis Faw'!$A$2)</f>
        <v>1.491891785</v>
      </c>
      <c r="K199" s="83">
        <f>_xlfn.IFNA(INDEX('Shultis Faw'!$B$2:$B$26,MATCH($C199,'Shultis Faw'!$A$2:$A$26,1))+($C199-INDEX('Shultis Faw'!$A$2:$A$26,MATCH($C199,'Shultis Faw'!$A$2:$A$26,1)))*(INDEX('Shultis Faw'!$B$2:$B$26,MATCH($C199,'Shultis Faw'!$A$2:$A$26,1)+1)-INDEX('Shultis Faw'!$B$2:$B$26,MATCH($C199,'Shultis Faw'!$A$2:$A$26,1)))/(INDEX('Shultis Faw'!$A$2:$A$26,MATCH($C199,'Shultis Faw'!$A$2:$A$26,1)+1)-INDEX('Shultis Faw'!$A$2:$A$26,MATCH($C199,'Shultis Faw'!$A$2:$A$26,1))),$C199*'Shultis Faw'!$B$2/'Shultis Faw'!$A$2)</f>
        <v>-9.6905519999999995E-2</v>
      </c>
      <c r="L199" s="83">
        <f>_xlfn.IFNA(INDEX('Shultis Faw'!$E$2:$E$26,MATCH($C199,'Shultis Faw'!$A$2:$A$26,1))+($C199-INDEX('Shultis Faw'!$A$2:$A$26,MATCH($C199,'Shultis Faw'!$A$2:$A$26,1)))*(INDEX('Shultis Faw'!$E$2:$E$26,MATCH($C199,'Shultis Faw'!$A$2:$A$26,1)+1)-INDEX('Shultis Faw'!$E$2:$E$26,MATCH($C199,'Shultis Faw'!$A$2:$A$26,1)))/(INDEX('Shultis Faw'!$A$2:$A$26,MATCH($C199,'Shultis Faw'!$A$2:$A$26,1)+1)-INDEX('Shultis Faw'!$A$2:$A$26,MATCH($C199,'Shultis Faw'!$A$2:$A$26,1))),$C199*'Shultis Faw'!$E$2/'Shultis Faw'!$A$2)</f>
        <v>4.07151605E-2</v>
      </c>
      <c r="M199" s="83">
        <f>_xlfn.IFNA(INDEX('Shultis Faw'!$F$2:$F$26,MATCH($C199,'Shultis Faw'!$A$2:$A$26,1))+($C199-INDEX('Shultis Faw'!$A$2:$A$26,MATCH($C199,'Shultis Faw'!$A$2:$A$26,1)))*(INDEX('Shultis Faw'!$F$2:$F$26,MATCH($C199,'Shultis Faw'!$A$2:$A$26,1)+1)-INDEX('Shultis Faw'!$F$2:$F$26,MATCH($C199,'Shultis Faw'!$A$2:$A$26,1)))/(INDEX('Shultis Faw'!$A$2:$A$26,MATCH($C199,'Shultis Faw'!$A$2:$A$26,1)+1)-INDEX('Shultis Faw'!$A$2:$A$26,MATCH($C199,'Shultis Faw'!$A$2:$A$26,1))),$C199*'Shultis Faw'!$F$2/'Shultis Faw'!$A$2)</f>
        <v>14.2891733</v>
      </c>
      <c r="N199" s="83">
        <f>J199*(H199*'Externe blootstelling'!$D$23/2)^K199+L199*(TANH(((H199*'Externe blootstelling'!$D$23)/(2*M199))-2)-TANH(-2))/(1-TANH(-2))</f>
        <v>1.4762049458538355</v>
      </c>
      <c r="O199" s="83">
        <f>IF(N199=1,1+(I199-1)*H199*'Externe blootstelling'!$D$23/2,1+(I199-1)*(N199^(H199*'Externe blootstelling'!$D$23/2)-1)/(N199-1))</f>
        <v>2.3229048610831091</v>
      </c>
      <c r="P199" s="67">
        <f>G199*EXP(-H199*'Externe blootstelling'!$D$23/2)*O199</f>
        <v>2.6294260307064905E-3</v>
      </c>
      <c r="Q199" s="68"/>
    </row>
    <row r="200" spans="1:17" x14ac:dyDescent="0.2">
      <c r="A200" s="217"/>
      <c r="B200" s="64" t="s">
        <v>104</v>
      </c>
      <c r="C200" s="66">
        <v>0.90600999999999998</v>
      </c>
      <c r="D200" s="66">
        <f t="shared" si="14"/>
        <v>1.4496159999999998E-13</v>
      </c>
      <c r="E200" s="66">
        <v>1.6000000000000001E-4</v>
      </c>
      <c r="F200" s="66">
        <f>_xlfn.IFNA(INDEX('hp (pSv cm2)'!$B$2:$B$52,MATCH($C200,'hp (pSv cm2)'!$A$2:$A$52,1))+($C200-INDEX('hp (pSv cm2)'!$A$2:$A$52,MATCH($C200,'hp (pSv cm2)'!$A$2:$A$52,1)))*(INDEX('hp (pSv cm2)'!$B$2:$B$52,MATCH($C200,'hp (pSv cm2)'!$A$2:$A$52,1)+1)-INDEX('hp (pSv cm2)'!$B$2:$B$52,MATCH($C200,'hp (pSv cm2)'!$A$2:$A$52,1)))/(INDEX('hp (pSv cm2)'!$A$2:$A$52,MATCH($C200,'hp (pSv cm2)'!$A$2:$A$52,1)+1)-INDEX('hp (pSv cm2)'!$A$2:$A$52,MATCH($C200,'hp (pSv cm2)'!$A$2:$A$52,1))),$C200*'hp (pSv cm2)'!$B$2/'hp (pSv cm2)'!$A$2)</f>
        <v>4.1328379999999996</v>
      </c>
      <c r="G200" s="67">
        <f t="shared" si="15"/>
        <v>6.6125408000000001E-4</v>
      </c>
      <c r="H200" s="83">
        <f>_xlfn.IFNA(0.997*(INDEX('Mass attenuation coefficients'!$B$2:$B$37,MATCH($C200,'Mass attenuation coefficients'!$A$2:$A$37,1))+($C200-INDEX('Mass attenuation coefficients'!$A$2:$A$37,MATCH($C200,'Mass attenuation coefficients'!$A$2:$A$37,1)))*(INDEX('Mass attenuation coefficients'!$B$2:$B$37,MATCH($C200,'Mass attenuation coefficients'!$A$2:$A$37,1)+1)-INDEX('Mass attenuation coefficients'!$B$2:$B$37,MATCH($C200,'Mass attenuation coefficients'!$A$2:$A$37,1)))/(INDEX('Mass attenuation coefficients'!$A$2:$A$37,MATCH($C200,'Mass attenuation coefficients'!$A$2:$A$37,1)+1)-INDEX('Mass attenuation coefficients'!$A$2:$A$37,MATCH($C200,'Mass attenuation coefficients'!$A$2:$A$37,1)))),0.997*$C200*'Mass attenuation coefficients'!$B$2/'Mass attenuation coefficients'!$A$2)</f>
        <v>7.4223363389500002E-2</v>
      </c>
      <c r="I200" s="83">
        <f>_xlfn.IFNA(INDEX('Shultis Faw'!$C$2:$C$26,MATCH($C200,'Shultis Faw'!$A$2:$A$26,1))+($C200-INDEX('Shultis Faw'!$A$2:$A$26,MATCH($C200,'Shultis Faw'!$A$2:$A$26,1)))*(INDEX('Shultis Faw'!$C$2:$C$26,MATCH($C200,'Shultis Faw'!$A$2:$A$26,1)+1)-INDEX('Shultis Faw'!$C$2:$C$26,MATCH($C200,'Shultis Faw'!$A$2:$A$26,1)))/(INDEX('Shultis Faw'!$A$2:$A$26,MATCH($C200,'Shultis Faw'!$A$2:$A$26,1)+1)-INDEX('Shultis Faw'!$A$2:$A$26,MATCH($C200,'Shultis Faw'!$A$2:$A$26,1))),$C200*'Shultis Faw'!$C$2/'Shultis Faw'!$A$2)</f>
        <v>2.1542245500000003</v>
      </c>
      <c r="J200" s="83">
        <f>_xlfn.IFNA(INDEX('Shultis Faw'!$D$2:$D$26,MATCH($C200,'Shultis Faw'!$A$2:$A$26,1))+($C200-INDEX('Shultis Faw'!$A$2:$A$26,MATCH($C200,'Shultis Faw'!$A$2:$A$26,1)))*(INDEX('Shultis Faw'!$D$2:$D$26,MATCH($C200,'Shultis Faw'!$A$2:$A$26,1)+1)-INDEX('Shultis Faw'!$D$2:$D$26,MATCH($C200,'Shultis Faw'!$A$2:$A$26,1)))/(INDEX('Shultis Faw'!$A$2:$A$26,MATCH($C200,'Shultis Faw'!$A$2:$A$26,1)+1)-INDEX('Shultis Faw'!$A$2:$A$26,MATCH($C200,'Shultis Faw'!$A$2:$A$26,1))),$C200*'Shultis Faw'!$D$2/'Shultis Faw'!$A$2)</f>
        <v>1.4894048500000001</v>
      </c>
      <c r="K200" s="83">
        <f>_xlfn.IFNA(INDEX('Shultis Faw'!$B$2:$B$26,MATCH($C200,'Shultis Faw'!$A$2:$A$26,1))+($C200-INDEX('Shultis Faw'!$A$2:$A$26,MATCH($C200,'Shultis Faw'!$A$2:$A$26,1)))*(INDEX('Shultis Faw'!$B$2:$B$26,MATCH($C200,'Shultis Faw'!$A$2:$A$26,1)+1)-INDEX('Shultis Faw'!$B$2:$B$26,MATCH($C200,'Shultis Faw'!$A$2:$A$26,1)))/(INDEX('Shultis Faw'!$A$2:$A$26,MATCH($C200,'Shultis Faw'!$A$2:$A$26,1)+1)-INDEX('Shultis Faw'!$A$2:$A$26,MATCH($C200,'Shultis Faw'!$A$2:$A$26,1))),$C200*'Shultis Faw'!$B$2/'Shultis Faw'!$A$2)</f>
        <v>-9.6519199999999999E-2</v>
      </c>
      <c r="L200" s="83">
        <f>_xlfn.IFNA(INDEX('Shultis Faw'!$E$2:$E$26,MATCH($C200,'Shultis Faw'!$A$2:$A$26,1))+($C200-INDEX('Shultis Faw'!$A$2:$A$26,MATCH($C200,'Shultis Faw'!$A$2:$A$26,1)))*(INDEX('Shultis Faw'!$E$2:$E$26,MATCH($C200,'Shultis Faw'!$A$2:$A$26,1)+1)-INDEX('Shultis Faw'!$E$2:$E$26,MATCH($C200,'Shultis Faw'!$A$2:$A$26,1)))/(INDEX('Shultis Faw'!$A$2:$A$26,MATCH($C200,'Shultis Faw'!$A$2:$A$26,1)+1)-INDEX('Shultis Faw'!$A$2:$A$26,MATCH($C200,'Shultis Faw'!$A$2:$A$26,1))),$C200*'Shultis Faw'!$E$2/'Shultis Faw'!$A$2)</f>
        <v>4.0572705000000001E-2</v>
      </c>
      <c r="M200" s="83">
        <f>_xlfn.IFNA(INDEX('Shultis Faw'!$F$2:$F$26,MATCH($C200,'Shultis Faw'!$A$2:$A$26,1))+($C200-INDEX('Shultis Faw'!$A$2:$A$26,MATCH($C200,'Shultis Faw'!$A$2:$A$26,1)))*(INDEX('Shultis Faw'!$F$2:$F$26,MATCH($C200,'Shultis Faw'!$A$2:$A$26,1)+1)-INDEX('Shultis Faw'!$F$2:$F$26,MATCH($C200,'Shultis Faw'!$A$2:$A$26,1)))/(INDEX('Shultis Faw'!$A$2:$A$26,MATCH($C200,'Shultis Faw'!$A$2:$A$26,1)+1)-INDEX('Shultis Faw'!$A$2:$A$26,MATCH($C200,'Shultis Faw'!$A$2:$A$26,1))),$C200*'Shultis Faw'!$F$2/'Shultis Faw'!$A$2)</f>
        <v>14.285793</v>
      </c>
      <c r="N200" s="83">
        <f>J200*(H200*'Externe blootstelling'!$D$23/2)^K200+L200*(TANH(((H200*'Externe blootstelling'!$D$23)/(2*M200))-2)-TANH(-2))/(1-TANH(-2))</f>
        <v>1.4741716162461507</v>
      </c>
      <c r="O200" s="83">
        <f>IF(N200=1,1+(I200-1)*H200*'Externe blootstelling'!$D$23/2,1+(I200-1)*(N200^(H200*'Externe blootstelling'!$D$23/2)-1)/(N200-1))</f>
        <v>2.3156057629135294</v>
      </c>
      <c r="P200" s="67">
        <f>G200*EXP(-H200*'Externe blootstelling'!$D$23/2)*O200</f>
        <v>5.0293403803712208E-4</v>
      </c>
      <c r="Q200" s="68"/>
    </row>
    <row r="201" spans="1:17" x14ac:dyDescent="0.2">
      <c r="A201" s="217"/>
      <c r="B201" s="64" t="s">
        <v>104</v>
      </c>
      <c r="C201" s="66">
        <v>0.91933699999999996</v>
      </c>
      <c r="D201" s="66">
        <f t="shared" si="14"/>
        <v>1.4709391999999998E-13</v>
      </c>
      <c r="E201" s="66">
        <v>4.2899999999999995E-3</v>
      </c>
      <c r="F201" s="66">
        <f>_xlfn.IFNA(INDEX('hp (pSv cm2)'!$B$2:$B$52,MATCH($C201,'hp (pSv cm2)'!$A$2:$A$52,1))+($C201-INDEX('hp (pSv cm2)'!$A$2:$A$52,MATCH($C201,'hp (pSv cm2)'!$A$2:$A$52,1)))*(INDEX('hp (pSv cm2)'!$B$2:$B$52,MATCH($C201,'hp (pSv cm2)'!$A$2:$A$52,1)+1)-INDEX('hp (pSv cm2)'!$B$2:$B$52,MATCH($C201,'hp (pSv cm2)'!$A$2:$A$52,1)))/(INDEX('hp (pSv cm2)'!$A$2:$A$52,MATCH($C201,'hp (pSv cm2)'!$A$2:$A$52,1)+1)-INDEX('hp (pSv cm2)'!$A$2:$A$52,MATCH($C201,'hp (pSv cm2)'!$A$2:$A$52,1))),$C201*'hp (pSv cm2)'!$B$2/'hp (pSv cm2)'!$A$2)</f>
        <v>4.1834806000000002</v>
      </c>
      <c r="G201" s="67">
        <f t="shared" si="15"/>
        <v>1.7947131773999998E-2</v>
      </c>
      <c r="H201" s="83">
        <f>_xlfn.IFNA(0.997*(INDEX('Mass attenuation coefficients'!$B$2:$B$37,MATCH($C201,'Mass attenuation coefficients'!$A$2:$A$37,1))+($C201-INDEX('Mass attenuation coefficients'!$A$2:$A$37,MATCH($C201,'Mass attenuation coefficients'!$A$2:$A$37,1)))*(INDEX('Mass attenuation coefficients'!$B$2:$B$37,MATCH($C201,'Mass attenuation coefficients'!$A$2:$A$37,1)+1)-INDEX('Mass attenuation coefficients'!$B$2:$B$37,MATCH($C201,'Mass attenuation coefficients'!$A$2:$A$37,1)))/(INDEX('Mass attenuation coefficients'!$A$2:$A$37,MATCH($C201,'Mass attenuation coefficients'!$A$2:$A$37,1)+1)-INDEX('Mass attenuation coefficients'!$A$2:$A$37,MATCH($C201,'Mass attenuation coefficients'!$A$2:$A$37,1)))),0.997*$C201*'Mass attenuation coefficients'!$B$2/'Mass attenuation coefficients'!$A$2)</f>
        <v>7.3696533086150012E-2</v>
      </c>
      <c r="I201" s="83">
        <f>_xlfn.IFNA(INDEX('Shultis Faw'!$C$2:$C$26,MATCH($C201,'Shultis Faw'!$A$2:$A$26,1))+($C201-INDEX('Shultis Faw'!$A$2:$A$26,MATCH($C201,'Shultis Faw'!$A$2:$A$26,1)))*(INDEX('Shultis Faw'!$C$2:$C$26,MATCH($C201,'Shultis Faw'!$A$2:$A$26,1)+1)-INDEX('Shultis Faw'!$C$2:$C$26,MATCH($C201,'Shultis Faw'!$A$2:$A$26,1)))/(INDEX('Shultis Faw'!$A$2:$A$26,MATCH($C201,'Shultis Faw'!$A$2:$A$26,1)+1)-INDEX('Shultis Faw'!$A$2:$A$26,MATCH($C201,'Shultis Faw'!$A$2:$A$26,1))),$C201*'Shultis Faw'!$C$2/'Shultis Faw'!$A$2)</f>
        <v>2.1469613350000003</v>
      </c>
      <c r="J201" s="83">
        <f>_xlfn.IFNA(INDEX('Shultis Faw'!$D$2:$D$26,MATCH($C201,'Shultis Faw'!$A$2:$A$26,1))+($C201-INDEX('Shultis Faw'!$A$2:$A$26,MATCH($C201,'Shultis Faw'!$A$2:$A$26,1)))*(INDEX('Shultis Faw'!$D$2:$D$26,MATCH($C201,'Shultis Faw'!$A$2:$A$26,1)+1)-INDEX('Shultis Faw'!$D$2:$D$26,MATCH($C201,'Shultis Faw'!$A$2:$A$26,1)))/(INDEX('Shultis Faw'!$A$2:$A$26,MATCH($C201,'Shultis Faw'!$A$2:$A$26,1)+1)-INDEX('Shultis Faw'!$A$2:$A$26,MATCH($C201,'Shultis Faw'!$A$2:$A$26,1))),$C201*'Shultis Faw'!$D$2/'Shultis Faw'!$A$2)</f>
        <v>1.4825414450000001</v>
      </c>
      <c r="K201" s="83">
        <f>_xlfn.IFNA(INDEX('Shultis Faw'!$B$2:$B$26,MATCH($C201,'Shultis Faw'!$A$2:$A$26,1))+($C201-INDEX('Shultis Faw'!$A$2:$A$26,MATCH($C201,'Shultis Faw'!$A$2:$A$26,1)))*(INDEX('Shultis Faw'!$B$2:$B$26,MATCH($C201,'Shultis Faw'!$A$2:$A$26,1)+1)-INDEX('Shultis Faw'!$B$2:$B$26,MATCH($C201,'Shultis Faw'!$A$2:$A$26,1)))/(INDEX('Shultis Faw'!$A$2:$A$26,MATCH($C201,'Shultis Faw'!$A$2:$A$26,1)+1)-INDEX('Shultis Faw'!$A$2:$A$26,MATCH($C201,'Shultis Faw'!$A$2:$A$26,1))),$C201*'Shultis Faw'!$B$2/'Shultis Faw'!$A$2)</f>
        <v>-9.5453040000000003E-2</v>
      </c>
      <c r="L201" s="83">
        <f>_xlfn.IFNA(INDEX('Shultis Faw'!$E$2:$E$26,MATCH($C201,'Shultis Faw'!$A$2:$A$26,1))+($C201-INDEX('Shultis Faw'!$A$2:$A$26,MATCH($C201,'Shultis Faw'!$A$2:$A$26,1)))*(INDEX('Shultis Faw'!$E$2:$E$26,MATCH($C201,'Shultis Faw'!$A$2:$A$26,1)+1)-INDEX('Shultis Faw'!$E$2:$E$26,MATCH($C201,'Shultis Faw'!$A$2:$A$26,1)))/(INDEX('Shultis Faw'!$A$2:$A$26,MATCH($C201,'Shultis Faw'!$A$2:$A$26,1)+1)-INDEX('Shultis Faw'!$A$2:$A$26,MATCH($C201,'Shultis Faw'!$A$2:$A$26,1))),$C201*'Shultis Faw'!$E$2/'Shultis Faw'!$A$2)</f>
        <v>4.0179558500000004E-2</v>
      </c>
      <c r="M201" s="83">
        <f>_xlfn.IFNA(INDEX('Shultis Faw'!$F$2:$F$26,MATCH($C201,'Shultis Faw'!$A$2:$A$26,1))+($C201-INDEX('Shultis Faw'!$A$2:$A$26,MATCH($C201,'Shultis Faw'!$A$2:$A$26,1)))*(INDEX('Shultis Faw'!$F$2:$F$26,MATCH($C201,'Shultis Faw'!$A$2:$A$26,1)+1)-INDEX('Shultis Faw'!$F$2:$F$26,MATCH($C201,'Shultis Faw'!$A$2:$A$26,1)))/(INDEX('Shultis Faw'!$A$2:$A$26,MATCH($C201,'Shultis Faw'!$A$2:$A$26,1)+1)-INDEX('Shultis Faw'!$A$2:$A$26,MATCH($C201,'Shultis Faw'!$A$2:$A$26,1))),$C201*'Shultis Faw'!$F$2/'Shultis Faw'!$A$2)</f>
        <v>14.2764641</v>
      </c>
      <c r="N201" s="83">
        <f>J201*(H201*'Externe blootstelling'!$D$23/2)^K201+L201*(TANH(((H201*'Externe blootstelling'!$D$23)/(2*M201))-2)-TANH(-2))/(1-TANH(-2))</f>
        <v>1.4685430076598922</v>
      </c>
      <c r="O201" s="83">
        <f>IF(N201=1,1+(I201-1)*H201*'Externe blootstelling'!$D$23/2,1+(I201-1)*(N201^(H201*'Externe blootstelling'!$D$23/2)-1)/(N201-1))</f>
        <v>2.295620024114073</v>
      </c>
      <c r="P201" s="67">
        <f>G201*EXP(-H201*'Externe blootstelling'!$D$23/2)*O201</f>
        <v>1.3639708567427921E-2</v>
      </c>
      <c r="Q201" s="68"/>
    </row>
    <row r="202" spans="1:17" x14ac:dyDescent="0.2">
      <c r="A202" s="217"/>
      <c r="B202" s="64" t="s">
        <v>104</v>
      </c>
      <c r="C202" s="66">
        <v>0.92631700000000006</v>
      </c>
      <c r="D202" s="66">
        <f t="shared" si="14"/>
        <v>1.4821072E-13</v>
      </c>
      <c r="E202" s="66">
        <v>2.7300000000000002E-3</v>
      </c>
      <c r="F202" s="66">
        <f>_xlfn.IFNA(INDEX('hp (pSv cm2)'!$B$2:$B$52,MATCH($C202,'hp (pSv cm2)'!$A$2:$A$52,1))+($C202-INDEX('hp (pSv cm2)'!$A$2:$A$52,MATCH($C202,'hp (pSv cm2)'!$A$2:$A$52,1)))*(INDEX('hp (pSv cm2)'!$B$2:$B$52,MATCH($C202,'hp (pSv cm2)'!$A$2:$A$52,1)+1)-INDEX('hp (pSv cm2)'!$B$2:$B$52,MATCH($C202,'hp (pSv cm2)'!$A$2:$A$52,1)))/(INDEX('hp (pSv cm2)'!$A$2:$A$52,MATCH($C202,'hp (pSv cm2)'!$A$2:$A$52,1)+1)-INDEX('hp (pSv cm2)'!$A$2:$A$52,MATCH($C202,'hp (pSv cm2)'!$A$2:$A$52,1))),$C202*'hp (pSv cm2)'!$B$2/'hp (pSv cm2)'!$A$2)</f>
        <v>4.2100046000000004</v>
      </c>
      <c r="G202" s="67">
        <f t="shared" si="15"/>
        <v>1.1493312558000002E-2</v>
      </c>
      <c r="H202" s="83">
        <f>_xlfn.IFNA(0.997*(INDEX('Mass attenuation coefficients'!$B$2:$B$37,MATCH($C202,'Mass attenuation coefficients'!$A$2:$A$37,1))+($C202-INDEX('Mass attenuation coefficients'!$A$2:$A$37,MATCH($C202,'Mass attenuation coefficients'!$A$2:$A$37,1)))*(INDEX('Mass attenuation coefficients'!$B$2:$B$37,MATCH($C202,'Mass attenuation coefficients'!$A$2:$A$37,1)+1)-INDEX('Mass attenuation coefficients'!$B$2:$B$37,MATCH($C202,'Mass attenuation coefficients'!$A$2:$A$37,1)))/(INDEX('Mass attenuation coefficients'!$A$2:$A$37,MATCH($C202,'Mass attenuation coefficients'!$A$2:$A$37,1)+1)-INDEX('Mass attenuation coefficients'!$A$2:$A$37,MATCH($C202,'Mass attenuation coefficients'!$A$2:$A$37,1)))),0.997*$C202*'Mass attenuation coefficients'!$B$2/'Mass attenuation coefficients'!$A$2)</f>
        <v>7.3420606357150003E-2</v>
      </c>
      <c r="I202" s="83">
        <f>_xlfn.IFNA(INDEX('Shultis Faw'!$C$2:$C$26,MATCH($C202,'Shultis Faw'!$A$2:$A$26,1))+($C202-INDEX('Shultis Faw'!$A$2:$A$26,MATCH($C202,'Shultis Faw'!$A$2:$A$26,1)))*(INDEX('Shultis Faw'!$C$2:$C$26,MATCH($C202,'Shultis Faw'!$A$2:$A$26,1)+1)-INDEX('Shultis Faw'!$C$2:$C$26,MATCH($C202,'Shultis Faw'!$A$2:$A$26,1)))/(INDEX('Shultis Faw'!$A$2:$A$26,MATCH($C202,'Shultis Faw'!$A$2:$A$26,1)+1)-INDEX('Shultis Faw'!$A$2:$A$26,MATCH($C202,'Shultis Faw'!$A$2:$A$26,1))),$C202*'Shultis Faw'!$C$2/'Shultis Faw'!$A$2)</f>
        <v>2.1431572350000003</v>
      </c>
      <c r="J202" s="83">
        <f>_xlfn.IFNA(INDEX('Shultis Faw'!$D$2:$D$26,MATCH($C202,'Shultis Faw'!$A$2:$A$26,1))+($C202-INDEX('Shultis Faw'!$A$2:$A$26,MATCH($C202,'Shultis Faw'!$A$2:$A$26,1)))*(INDEX('Shultis Faw'!$D$2:$D$26,MATCH($C202,'Shultis Faw'!$A$2:$A$26,1)+1)-INDEX('Shultis Faw'!$D$2:$D$26,MATCH($C202,'Shultis Faw'!$A$2:$A$26,1)))/(INDEX('Shultis Faw'!$A$2:$A$26,MATCH($C202,'Shultis Faw'!$A$2:$A$26,1)+1)-INDEX('Shultis Faw'!$A$2:$A$26,MATCH($C202,'Shultis Faw'!$A$2:$A$26,1))),$C202*'Shultis Faw'!$D$2/'Shultis Faw'!$A$2)</f>
        <v>1.478946745</v>
      </c>
      <c r="K202" s="83">
        <f>_xlfn.IFNA(INDEX('Shultis Faw'!$B$2:$B$26,MATCH($C202,'Shultis Faw'!$A$2:$A$26,1))+($C202-INDEX('Shultis Faw'!$A$2:$A$26,MATCH($C202,'Shultis Faw'!$A$2:$A$26,1)))*(INDEX('Shultis Faw'!$B$2:$B$26,MATCH($C202,'Shultis Faw'!$A$2:$A$26,1)+1)-INDEX('Shultis Faw'!$B$2:$B$26,MATCH($C202,'Shultis Faw'!$A$2:$A$26,1)))/(INDEX('Shultis Faw'!$A$2:$A$26,MATCH($C202,'Shultis Faw'!$A$2:$A$26,1)+1)-INDEX('Shultis Faw'!$A$2:$A$26,MATCH($C202,'Shultis Faw'!$A$2:$A$26,1))),$C202*'Shultis Faw'!$B$2/'Shultis Faw'!$A$2)</f>
        <v>-9.4894639999999988E-2</v>
      </c>
      <c r="L202" s="83">
        <f>_xlfn.IFNA(INDEX('Shultis Faw'!$E$2:$E$26,MATCH($C202,'Shultis Faw'!$A$2:$A$26,1))+($C202-INDEX('Shultis Faw'!$A$2:$A$26,MATCH($C202,'Shultis Faw'!$A$2:$A$26,1)))*(INDEX('Shultis Faw'!$E$2:$E$26,MATCH($C202,'Shultis Faw'!$A$2:$A$26,1)+1)-INDEX('Shultis Faw'!$E$2:$E$26,MATCH($C202,'Shultis Faw'!$A$2:$A$26,1)))/(INDEX('Shultis Faw'!$A$2:$A$26,MATCH($C202,'Shultis Faw'!$A$2:$A$26,1)+1)-INDEX('Shultis Faw'!$A$2:$A$26,MATCH($C202,'Shultis Faw'!$A$2:$A$26,1))),$C202*'Shultis Faw'!$E$2/'Shultis Faw'!$A$2)</f>
        <v>3.99736485E-2</v>
      </c>
      <c r="M202" s="83">
        <f>_xlfn.IFNA(INDEX('Shultis Faw'!$F$2:$F$26,MATCH($C202,'Shultis Faw'!$A$2:$A$26,1))+($C202-INDEX('Shultis Faw'!$A$2:$A$26,MATCH($C202,'Shultis Faw'!$A$2:$A$26,1)))*(INDEX('Shultis Faw'!$F$2:$F$26,MATCH($C202,'Shultis Faw'!$A$2:$A$26,1)+1)-INDEX('Shultis Faw'!$F$2:$F$26,MATCH($C202,'Shultis Faw'!$A$2:$A$26,1)))/(INDEX('Shultis Faw'!$A$2:$A$26,MATCH($C202,'Shultis Faw'!$A$2:$A$26,1)+1)-INDEX('Shultis Faw'!$A$2:$A$26,MATCH($C202,'Shultis Faw'!$A$2:$A$26,1))),$C202*'Shultis Faw'!$F$2/'Shultis Faw'!$A$2)</f>
        <v>14.271578099999999</v>
      </c>
      <c r="N202" s="83">
        <f>J202*(H202*'Externe blootstelling'!$D$23/2)^K202+L202*(TANH(((H202*'Externe blootstelling'!$D$23)/(2*M202))-2)-TANH(-2))/(1-TANH(-2))</f>
        <v>1.4655850453051427</v>
      </c>
      <c r="O202" s="83">
        <f>IF(N202=1,1+(I202-1)*H202*'Externe blootstelling'!$D$23/2,1+(I202-1)*(N202^(H202*'Externe blootstelling'!$D$23/2)-1)/(N202-1))</f>
        <v>2.285244573530739</v>
      </c>
      <c r="P202" s="67">
        <f>G202*EXP(-H202*'Externe blootstelling'!$D$23/2)*O202</f>
        <v>8.7314312899878909E-3</v>
      </c>
      <c r="Q202" s="68"/>
    </row>
    <row r="203" spans="1:17" x14ac:dyDescent="0.2">
      <c r="A203" s="217"/>
      <c r="B203" s="64" t="s">
        <v>104</v>
      </c>
      <c r="C203" s="66">
        <v>0.93058000000000007</v>
      </c>
      <c r="D203" s="66">
        <f t="shared" si="14"/>
        <v>1.4889280000000001E-13</v>
      </c>
      <c r="E203" s="66">
        <v>7.2900000000000005E-4</v>
      </c>
      <c r="F203" s="66">
        <f>_xlfn.IFNA(INDEX('hp (pSv cm2)'!$B$2:$B$52,MATCH($C203,'hp (pSv cm2)'!$A$2:$A$52,1))+($C203-INDEX('hp (pSv cm2)'!$A$2:$A$52,MATCH($C203,'hp (pSv cm2)'!$A$2:$A$52,1)))*(INDEX('hp (pSv cm2)'!$B$2:$B$52,MATCH($C203,'hp (pSv cm2)'!$A$2:$A$52,1)+1)-INDEX('hp (pSv cm2)'!$B$2:$B$52,MATCH($C203,'hp (pSv cm2)'!$A$2:$A$52,1)))/(INDEX('hp (pSv cm2)'!$A$2:$A$52,MATCH($C203,'hp (pSv cm2)'!$A$2:$A$52,1)+1)-INDEX('hp (pSv cm2)'!$A$2:$A$52,MATCH($C203,'hp (pSv cm2)'!$A$2:$A$52,1))),$C203*'hp (pSv cm2)'!$B$2/'hp (pSv cm2)'!$A$2)</f>
        <v>4.2262040000000001</v>
      </c>
      <c r="G203" s="67">
        <f t="shared" si="15"/>
        <v>3.0809027160000001E-3</v>
      </c>
      <c r="H203" s="83">
        <f>_xlfn.IFNA(0.997*(INDEX('Mass attenuation coefficients'!$B$2:$B$37,MATCH($C203,'Mass attenuation coefficients'!$A$2:$A$37,1))+($C203-INDEX('Mass attenuation coefficients'!$A$2:$A$37,MATCH($C203,'Mass attenuation coefficients'!$A$2:$A$37,1)))*(INDEX('Mass attenuation coefficients'!$B$2:$B$37,MATCH($C203,'Mass attenuation coefficients'!$A$2:$A$37,1)+1)-INDEX('Mass attenuation coefficients'!$B$2:$B$37,MATCH($C203,'Mass attenuation coefficients'!$A$2:$A$37,1)))/(INDEX('Mass attenuation coefficients'!$A$2:$A$37,MATCH($C203,'Mass attenuation coefficients'!$A$2:$A$37,1)+1)-INDEX('Mass attenuation coefficients'!$A$2:$A$37,MATCH($C203,'Mass attenuation coefficients'!$A$2:$A$37,1)))),0.997*$C203*'Mass attenuation coefficients'!$B$2/'Mass attenuation coefficients'!$A$2)</f>
        <v>7.3252085490999999E-2</v>
      </c>
      <c r="I203" s="83">
        <f>_xlfn.IFNA(INDEX('Shultis Faw'!$C$2:$C$26,MATCH($C203,'Shultis Faw'!$A$2:$A$26,1))+($C203-INDEX('Shultis Faw'!$A$2:$A$26,MATCH($C203,'Shultis Faw'!$A$2:$A$26,1)))*(INDEX('Shultis Faw'!$C$2:$C$26,MATCH($C203,'Shultis Faw'!$A$2:$A$26,1)+1)-INDEX('Shultis Faw'!$C$2:$C$26,MATCH($C203,'Shultis Faw'!$A$2:$A$26,1)))/(INDEX('Shultis Faw'!$A$2:$A$26,MATCH($C203,'Shultis Faw'!$A$2:$A$26,1)+1)-INDEX('Shultis Faw'!$A$2:$A$26,MATCH($C203,'Shultis Faw'!$A$2:$A$26,1))),$C203*'Shultis Faw'!$C$2/'Shultis Faw'!$A$2)</f>
        <v>2.1408339000000001</v>
      </c>
      <c r="J203" s="83">
        <f>_xlfn.IFNA(INDEX('Shultis Faw'!$D$2:$D$26,MATCH($C203,'Shultis Faw'!$A$2:$A$26,1))+($C203-INDEX('Shultis Faw'!$A$2:$A$26,MATCH($C203,'Shultis Faw'!$A$2:$A$26,1)))*(INDEX('Shultis Faw'!$D$2:$D$26,MATCH($C203,'Shultis Faw'!$A$2:$A$26,1)+1)-INDEX('Shultis Faw'!$D$2:$D$26,MATCH($C203,'Shultis Faw'!$A$2:$A$26,1)))/(INDEX('Shultis Faw'!$A$2:$A$26,MATCH($C203,'Shultis Faw'!$A$2:$A$26,1)+1)-INDEX('Shultis Faw'!$A$2:$A$26,MATCH($C203,'Shultis Faw'!$A$2:$A$26,1))),$C203*'Shultis Faw'!$D$2/'Shultis Faw'!$A$2)</f>
        <v>1.4767513000000001</v>
      </c>
      <c r="K203" s="83">
        <f>_xlfn.IFNA(INDEX('Shultis Faw'!$B$2:$B$26,MATCH($C203,'Shultis Faw'!$A$2:$A$26,1))+($C203-INDEX('Shultis Faw'!$A$2:$A$26,MATCH($C203,'Shultis Faw'!$A$2:$A$26,1)))*(INDEX('Shultis Faw'!$B$2:$B$26,MATCH($C203,'Shultis Faw'!$A$2:$A$26,1)+1)-INDEX('Shultis Faw'!$B$2:$B$26,MATCH($C203,'Shultis Faw'!$A$2:$A$26,1)))/(INDEX('Shultis Faw'!$A$2:$A$26,MATCH($C203,'Shultis Faw'!$A$2:$A$26,1)+1)-INDEX('Shultis Faw'!$A$2:$A$26,MATCH($C203,'Shultis Faw'!$A$2:$A$26,1))),$C203*'Shultis Faw'!$B$2/'Shultis Faw'!$A$2)</f>
        <v>-9.4553599999999988E-2</v>
      </c>
      <c r="L203" s="83">
        <f>_xlfn.IFNA(INDEX('Shultis Faw'!$E$2:$E$26,MATCH($C203,'Shultis Faw'!$A$2:$A$26,1))+($C203-INDEX('Shultis Faw'!$A$2:$A$26,MATCH($C203,'Shultis Faw'!$A$2:$A$26,1)))*(INDEX('Shultis Faw'!$E$2:$E$26,MATCH($C203,'Shultis Faw'!$A$2:$A$26,1)+1)-INDEX('Shultis Faw'!$E$2:$E$26,MATCH($C203,'Shultis Faw'!$A$2:$A$26,1)))/(INDEX('Shultis Faw'!$A$2:$A$26,MATCH($C203,'Shultis Faw'!$A$2:$A$26,1)+1)-INDEX('Shultis Faw'!$A$2:$A$26,MATCH($C203,'Shultis Faw'!$A$2:$A$26,1))),$C203*'Shultis Faw'!$E$2/'Shultis Faw'!$A$2)</f>
        <v>3.9847889999999997E-2</v>
      </c>
      <c r="M203" s="83">
        <f>_xlfn.IFNA(INDEX('Shultis Faw'!$F$2:$F$26,MATCH($C203,'Shultis Faw'!$A$2:$A$26,1))+($C203-INDEX('Shultis Faw'!$A$2:$A$26,MATCH($C203,'Shultis Faw'!$A$2:$A$26,1)))*(INDEX('Shultis Faw'!$F$2:$F$26,MATCH($C203,'Shultis Faw'!$A$2:$A$26,1)+1)-INDEX('Shultis Faw'!$F$2:$F$26,MATCH($C203,'Shultis Faw'!$A$2:$A$26,1)))/(INDEX('Shultis Faw'!$A$2:$A$26,MATCH($C203,'Shultis Faw'!$A$2:$A$26,1)+1)-INDEX('Shultis Faw'!$A$2:$A$26,MATCH($C203,'Shultis Faw'!$A$2:$A$26,1))),$C203*'Shultis Faw'!$F$2/'Shultis Faw'!$A$2)</f>
        <v>14.268594</v>
      </c>
      <c r="N203" s="83">
        <f>J203*(H203*'Externe blootstelling'!$D$23/2)^K203+L203*(TANH(((H203*'Externe blootstelling'!$D$23)/(2*M203))-2)-TANH(-2))/(1-TANH(-2))</f>
        <v>1.4637751102867189</v>
      </c>
      <c r="O203" s="83">
        <f>IF(N203=1,1+(I203-1)*H203*'Externe blootstelling'!$D$23/2,1+(I203-1)*(N203^(H203*'Externe blootstelling'!$D$23/2)-1)/(N203-1))</f>
        <v>2.2789387437623096</v>
      </c>
      <c r="P203" s="67">
        <f>G203*EXP(-H203*'Externe blootstelling'!$D$23/2)*O203</f>
        <v>2.3400007096318924E-3</v>
      </c>
      <c r="Q203" s="68"/>
    </row>
    <row r="204" spans="1:17" x14ac:dyDescent="0.2">
      <c r="A204" s="217"/>
      <c r="B204" s="64" t="s">
        <v>104</v>
      </c>
      <c r="C204" s="66">
        <v>0.93704999999999994</v>
      </c>
      <c r="D204" s="66">
        <f t="shared" si="14"/>
        <v>1.4992799999999998E-13</v>
      </c>
      <c r="E204" s="66">
        <v>2.7000000000000002E-5</v>
      </c>
      <c r="F204" s="66">
        <f>_xlfn.IFNA(INDEX('hp (pSv cm2)'!$B$2:$B$52,MATCH($C204,'hp (pSv cm2)'!$A$2:$A$52,1))+($C204-INDEX('hp (pSv cm2)'!$A$2:$A$52,MATCH($C204,'hp (pSv cm2)'!$A$2:$A$52,1)))*(INDEX('hp (pSv cm2)'!$B$2:$B$52,MATCH($C204,'hp (pSv cm2)'!$A$2:$A$52,1)+1)-INDEX('hp (pSv cm2)'!$B$2:$B$52,MATCH($C204,'hp (pSv cm2)'!$A$2:$A$52,1)))/(INDEX('hp (pSv cm2)'!$A$2:$A$52,MATCH($C204,'hp (pSv cm2)'!$A$2:$A$52,1)+1)-INDEX('hp (pSv cm2)'!$A$2:$A$52,MATCH($C204,'hp (pSv cm2)'!$A$2:$A$52,1))),$C204*'hp (pSv cm2)'!$B$2/'hp (pSv cm2)'!$A$2)</f>
        <v>4.2507900000000003</v>
      </c>
      <c r="G204" s="67">
        <f t="shared" si="15"/>
        <v>1.1477133000000001E-4</v>
      </c>
      <c r="H204" s="83">
        <f>_xlfn.IFNA(0.997*(INDEX('Mass attenuation coefficients'!$B$2:$B$37,MATCH($C204,'Mass attenuation coefficients'!$A$2:$A$37,1))+($C204-INDEX('Mass attenuation coefficients'!$A$2:$A$37,MATCH($C204,'Mass attenuation coefficients'!$A$2:$A$37,1)))*(INDEX('Mass attenuation coefficients'!$B$2:$B$37,MATCH($C204,'Mass attenuation coefficients'!$A$2:$A$37,1)+1)-INDEX('Mass attenuation coefficients'!$B$2:$B$37,MATCH($C204,'Mass attenuation coefficients'!$A$2:$A$37,1)))/(INDEX('Mass attenuation coefficients'!$A$2:$A$37,MATCH($C204,'Mass attenuation coefficients'!$A$2:$A$37,1)+1)-INDEX('Mass attenuation coefficients'!$A$2:$A$37,MATCH($C204,'Mass attenuation coefficients'!$A$2:$A$37,1)))),0.997*$C204*'Mass attenuation coefficients'!$B$2/'Mass attenuation coefficients'!$A$2)</f>
        <v>7.2996319597500012E-2</v>
      </c>
      <c r="I204" s="83">
        <f>_xlfn.IFNA(INDEX('Shultis Faw'!$C$2:$C$26,MATCH($C204,'Shultis Faw'!$A$2:$A$26,1))+($C204-INDEX('Shultis Faw'!$A$2:$A$26,MATCH($C204,'Shultis Faw'!$A$2:$A$26,1)))*(INDEX('Shultis Faw'!$C$2:$C$26,MATCH($C204,'Shultis Faw'!$A$2:$A$26,1)+1)-INDEX('Shultis Faw'!$C$2:$C$26,MATCH($C204,'Shultis Faw'!$A$2:$A$26,1)))/(INDEX('Shultis Faw'!$A$2:$A$26,MATCH($C204,'Shultis Faw'!$A$2:$A$26,1)+1)-INDEX('Shultis Faw'!$A$2:$A$26,MATCH($C204,'Shultis Faw'!$A$2:$A$26,1))),$C204*'Shultis Faw'!$C$2/'Shultis Faw'!$A$2)</f>
        <v>2.1373077500000002</v>
      </c>
      <c r="J204" s="83">
        <f>_xlfn.IFNA(INDEX('Shultis Faw'!$D$2:$D$26,MATCH($C204,'Shultis Faw'!$A$2:$A$26,1))+($C204-INDEX('Shultis Faw'!$A$2:$A$26,MATCH($C204,'Shultis Faw'!$A$2:$A$26,1)))*(INDEX('Shultis Faw'!$D$2:$D$26,MATCH($C204,'Shultis Faw'!$A$2:$A$26,1)+1)-INDEX('Shultis Faw'!$D$2:$D$26,MATCH($C204,'Shultis Faw'!$A$2:$A$26,1)))/(INDEX('Shultis Faw'!$A$2:$A$26,MATCH($C204,'Shultis Faw'!$A$2:$A$26,1)+1)-INDEX('Shultis Faw'!$A$2:$A$26,MATCH($C204,'Shultis Faw'!$A$2:$A$26,1))),$C204*'Shultis Faw'!$D$2/'Shultis Faw'!$A$2)</f>
        <v>1.4734192500000001</v>
      </c>
      <c r="K204" s="83">
        <f>_xlfn.IFNA(INDEX('Shultis Faw'!$B$2:$B$26,MATCH($C204,'Shultis Faw'!$A$2:$A$26,1))+($C204-INDEX('Shultis Faw'!$A$2:$A$26,MATCH($C204,'Shultis Faw'!$A$2:$A$26,1)))*(INDEX('Shultis Faw'!$B$2:$B$26,MATCH($C204,'Shultis Faw'!$A$2:$A$26,1)+1)-INDEX('Shultis Faw'!$B$2:$B$26,MATCH($C204,'Shultis Faw'!$A$2:$A$26,1)))/(INDEX('Shultis Faw'!$A$2:$A$26,MATCH($C204,'Shultis Faw'!$A$2:$A$26,1)+1)-INDEX('Shultis Faw'!$A$2:$A$26,MATCH($C204,'Shultis Faw'!$A$2:$A$26,1))),$C204*'Shultis Faw'!$B$2/'Shultis Faw'!$A$2)</f>
        <v>-9.4036000000000008E-2</v>
      </c>
      <c r="L204" s="83">
        <f>_xlfn.IFNA(INDEX('Shultis Faw'!$E$2:$E$26,MATCH($C204,'Shultis Faw'!$A$2:$A$26,1))+($C204-INDEX('Shultis Faw'!$A$2:$A$26,MATCH($C204,'Shultis Faw'!$A$2:$A$26,1)))*(INDEX('Shultis Faw'!$E$2:$E$26,MATCH($C204,'Shultis Faw'!$A$2:$A$26,1)+1)-INDEX('Shultis Faw'!$E$2:$E$26,MATCH($C204,'Shultis Faw'!$A$2:$A$26,1)))/(INDEX('Shultis Faw'!$A$2:$A$26,MATCH($C204,'Shultis Faw'!$A$2:$A$26,1)+1)-INDEX('Shultis Faw'!$A$2:$A$26,MATCH($C204,'Shultis Faw'!$A$2:$A$26,1))),$C204*'Shultis Faw'!$E$2/'Shultis Faw'!$A$2)</f>
        <v>3.9657025000000005E-2</v>
      </c>
      <c r="M204" s="83">
        <f>_xlfn.IFNA(INDEX('Shultis Faw'!$F$2:$F$26,MATCH($C204,'Shultis Faw'!$A$2:$A$26,1))+($C204-INDEX('Shultis Faw'!$A$2:$A$26,MATCH($C204,'Shultis Faw'!$A$2:$A$26,1)))*(INDEX('Shultis Faw'!$F$2:$F$26,MATCH($C204,'Shultis Faw'!$A$2:$A$26,1)+1)-INDEX('Shultis Faw'!$F$2:$F$26,MATCH($C204,'Shultis Faw'!$A$2:$A$26,1)))/(INDEX('Shultis Faw'!$A$2:$A$26,MATCH($C204,'Shultis Faw'!$A$2:$A$26,1)+1)-INDEX('Shultis Faw'!$A$2:$A$26,MATCH($C204,'Shultis Faw'!$A$2:$A$26,1))),$C204*'Shultis Faw'!$F$2/'Shultis Faw'!$A$2)</f>
        <v>14.264065</v>
      </c>
      <c r="N204" s="83">
        <f>J204*(H204*'Externe blootstelling'!$D$23/2)^K204+L204*(TANH(((H204*'Externe blootstelling'!$D$23)/(2*M204))-2)-TANH(-2))/(1-TANH(-2))</f>
        <v>1.4610232661592548</v>
      </c>
      <c r="O204" s="83">
        <f>IF(N204=1,1+(I204-1)*H204*'Externe blootstelling'!$D$23/2,1+(I204-1)*(N204^(H204*'Externe blootstelling'!$D$23/2)-1)/(N204-1))</f>
        <v>2.269412914269084</v>
      </c>
      <c r="P204" s="67">
        <f>G204*EXP(-H204*'Externe blootstelling'!$D$23/2)*O204</f>
        <v>8.7140180322110389E-5</v>
      </c>
      <c r="Q204" s="68"/>
    </row>
    <row r="205" spans="1:17" x14ac:dyDescent="0.2">
      <c r="A205" s="217"/>
      <c r="B205" s="64" t="s">
        <v>104</v>
      </c>
      <c r="C205" s="66">
        <v>0.95862999999999998</v>
      </c>
      <c r="D205" s="66">
        <f t="shared" si="14"/>
        <v>1.5338079999999998E-13</v>
      </c>
      <c r="E205" s="66">
        <v>2.1000000000000001E-4</v>
      </c>
      <c r="F205" s="66">
        <f>_xlfn.IFNA(INDEX('hp (pSv cm2)'!$B$2:$B$52,MATCH($C205,'hp (pSv cm2)'!$A$2:$A$52,1))+($C205-INDEX('hp (pSv cm2)'!$A$2:$A$52,MATCH($C205,'hp (pSv cm2)'!$A$2:$A$52,1)))*(INDEX('hp (pSv cm2)'!$B$2:$B$52,MATCH($C205,'hp (pSv cm2)'!$A$2:$A$52,1)+1)-INDEX('hp (pSv cm2)'!$B$2:$B$52,MATCH($C205,'hp (pSv cm2)'!$A$2:$A$52,1)))/(INDEX('hp (pSv cm2)'!$A$2:$A$52,MATCH($C205,'hp (pSv cm2)'!$A$2:$A$52,1)+1)-INDEX('hp (pSv cm2)'!$A$2:$A$52,MATCH($C205,'hp (pSv cm2)'!$A$2:$A$52,1))),$C205*'hp (pSv cm2)'!$B$2/'hp (pSv cm2)'!$A$2)</f>
        <v>4.3327939999999998</v>
      </c>
      <c r="G205" s="67">
        <f t="shared" si="15"/>
        <v>9.0988674000000002E-4</v>
      </c>
      <c r="H205" s="83">
        <f>_xlfn.IFNA(0.997*(INDEX('Mass attenuation coefficients'!$B$2:$B$37,MATCH($C205,'Mass attenuation coefficients'!$A$2:$A$37,1))+($C205-INDEX('Mass attenuation coefficients'!$A$2:$A$37,MATCH($C205,'Mass attenuation coefficients'!$A$2:$A$37,1)))*(INDEX('Mass attenuation coefficients'!$B$2:$B$37,MATCH($C205,'Mass attenuation coefficients'!$A$2:$A$37,1)+1)-INDEX('Mass attenuation coefficients'!$B$2:$B$37,MATCH($C205,'Mass attenuation coefficients'!$A$2:$A$37,1)))/(INDEX('Mass attenuation coefficients'!$A$2:$A$37,MATCH($C205,'Mass attenuation coefficients'!$A$2:$A$37,1)+1)-INDEX('Mass attenuation coefficients'!$A$2:$A$37,MATCH($C205,'Mass attenuation coefficients'!$A$2:$A$37,1)))),0.997*$C205*'Mass attenuation coefficients'!$B$2/'Mass attenuation coefficients'!$A$2)</f>
        <v>7.2143239538500006E-2</v>
      </c>
      <c r="I205" s="83">
        <f>_xlfn.IFNA(INDEX('Shultis Faw'!$C$2:$C$26,MATCH($C205,'Shultis Faw'!$A$2:$A$26,1))+($C205-INDEX('Shultis Faw'!$A$2:$A$26,MATCH($C205,'Shultis Faw'!$A$2:$A$26,1)))*(INDEX('Shultis Faw'!$C$2:$C$26,MATCH($C205,'Shultis Faw'!$A$2:$A$26,1)+1)-INDEX('Shultis Faw'!$C$2:$C$26,MATCH($C205,'Shultis Faw'!$A$2:$A$26,1)))/(INDEX('Shultis Faw'!$A$2:$A$26,MATCH($C205,'Shultis Faw'!$A$2:$A$26,1)+1)-INDEX('Shultis Faw'!$A$2:$A$26,MATCH($C205,'Shultis Faw'!$A$2:$A$26,1))),$C205*'Shultis Faw'!$C$2/'Shultis Faw'!$A$2)</f>
        <v>2.1255466500000004</v>
      </c>
      <c r="J205" s="83">
        <f>_xlfn.IFNA(INDEX('Shultis Faw'!$D$2:$D$26,MATCH($C205,'Shultis Faw'!$A$2:$A$26,1))+($C205-INDEX('Shultis Faw'!$A$2:$A$26,MATCH($C205,'Shultis Faw'!$A$2:$A$26,1)))*(INDEX('Shultis Faw'!$D$2:$D$26,MATCH($C205,'Shultis Faw'!$A$2:$A$26,1)+1)-INDEX('Shultis Faw'!$D$2:$D$26,MATCH($C205,'Shultis Faw'!$A$2:$A$26,1)))/(INDEX('Shultis Faw'!$A$2:$A$26,MATCH($C205,'Shultis Faw'!$A$2:$A$26,1)+1)-INDEX('Shultis Faw'!$A$2:$A$26,MATCH($C205,'Shultis Faw'!$A$2:$A$26,1))),$C205*'Shultis Faw'!$D$2/'Shultis Faw'!$A$2)</f>
        <v>1.46230555</v>
      </c>
      <c r="K205" s="83">
        <f>_xlfn.IFNA(INDEX('Shultis Faw'!$B$2:$B$26,MATCH($C205,'Shultis Faw'!$A$2:$A$26,1))+($C205-INDEX('Shultis Faw'!$A$2:$A$26,MATCH($C205,'Shultis Faw'!$A$2:$A$26,1)))*(INDEX('Shultis Faw'!$B$2:$B$26,MATCH($C205,'Shultis Faw'!$A$2:$A$26,1)+1)-INDEX('Shultis Faw'!$B$2:$B$26,MATCH($C205,'Shultis Faw'!$A$2:$A$26,1)))/(INDEX('Shultis Faw'!$A$2:$A$26,MATCH($C205,'Shultis Faw'!$A$2:$A$26,1)+1)-INDEX('Shultis Faw'!$A$2:$A$26,MATCH($C205,'Shultis Faw'!$A$2:$A$26,1))),$C205*'Shultis Faw'!$B$2/'Shultis Faw'!$A$2)</f>
        <v>-9.2309599999999992E-2</v>
      </c>
      <c r="L205" s="83">
        <f>_xlfn.IFNA(INDEX('Shultis Faw'!$E$2:$E$26,MATCH($C205,'Shultis Faw'!$A$2:$A$26,1))+($C205-INDEX('Shultis Faw'!$A$2:$A$26,MATCH($C205,'Shultis Faw'!$A$2:$A$26,1)))*(INDEX('Shultis Faw'!$E$2:$E$26,MATCH($C205,'Shultis Faw'!$A$2:$A$26,1)+1)-INDEX('Shultis Faw'!$E$2:$E$26,MATCH($C205,'Shultis Faw'!$A$2:$A$26,1)))/(INDEX('Shultis Faw'!$A$2:$A$26,MATCH($C205,'Shultis Faw'!$A$2:$A$26,1)+1)-INDEX('Shultis Faw'!$A$2:$A$26,MATCH($C205,'Shultis Faw'!$A$2:$A$26,1))),$C205*'Shultis Faw'!$E$2/'Shultis Faw'!$A$2)</f>
        <v>3.9020415000000003E-2</v>
      </c>
      <c r="M205" s="83">
        <f>_xlfn.IFNA(INDEX('Shultis Faw'!$F$2:$F$26,MATCH($C205,'Shultis Faw'!$A$2:$A$26,1))+($C205-INDEX('Shultis Faw'!$A$2:$A$26,MATCH($C205,'Shultis Faw'!$A$2:$A$26,1)))*(INDEX('Shultis Faw'!$F$2:$F$26,MATCH($C205,'Shultis Faw'!$A$2:$A$26,1)+1)-INDEX('Shultis Faw'!$F$2:$F$26,MATCH($C205,'Shultis Faw'!$A$2:$A$26,1)))/(INDEX('Shultis Faw'!$A$2:$A$26,MATCH($C205,'Shultis Faw'!$A$2:$A$26,1)+1)-INDEX('Shultis Faw'!$A$2:$A$26,MATCH($C205,'Shultis Faw'!$A$2:$A$26,1))),$C205*'Shultis Faw'!$F$2/'Shultis Faw'!$A$2)</f>
        <v>14.248959000000001</v>
      </c>
      <c r="N205" s="83">
        <f>J205*(H205*'Externe blootstelling'!$D$23/2)^K205+L205*(TANH(((H205*'Externe blootstelling'!$D$23)/(2*M205))-2)-TANH(-2))/(1-TANH(-2))</f>
        <v>1.4518022220307076</v>
      </c>
      <c r="O205" s="83">
        <f>IF(N205=1,1+(I205-1)*H205*'Externe blootstelling'!$D$23/2,1+(I205-1)*(N205^(H205*'Externe blootstelling'!$D$23/2)-1)/(N205-1))</f>
        <v>2.2380259151809554</v>
      </c>
      <c r="P205" s="67">
        <f>G205*EXP(-H205*'Externe blootstelling'!$D$23/2)*O205</f>
        <v>6.9005115090344036E-4</v>
      </c>
      <c r="Q205" s="68"/>
    </row>
    <row r="206" spans="1:17" x14ac:dyDescent="0.2">
      <c r="A206" s="217"/>
      <c r="B206" s="64" t="s">
        <v>104</v>
      </c>
      <c r="C206" s="66">
        <v>0.96338999999999997</v>
      </c>
      <c r="D206" s="66">
        <f t="shared" si="14"/>
        <v>1.5414239999999998E-13</v>
      </c>
      <c r="E206" s="66">
        <v>1.341E-3</v>
      </c>
      <c r="F206" s="66">
        <f>_xlfn.IFNA(INDEX('hp (pSv cm2)'!$B$2:$B$52,MATCH($C206,'hp (pSv cm2)'!$A$2:$A$52,1))+($C206-INDEX('hp (pSv cm2)'!$A$2:$A$52,MATCH($C206,'hp (pSv cm2)'!$A$2:$A$52,1)))*(INDEX('hp (pSv cm2)'!$B$2:$B$52,MATCH($C206,'hp (pSv cm2)'!$A$2:$A$52,1)+1)-INDEX('hp (pSv cm2)'!$B$2:$B$52,MATCH($C206,'hp (pSv cm2)'!$A$2:$A$52,1)))/(INDEX('hp (pSv cm2)'!$A$2:$A$52,MATCH($C206,'hp (pSv cm2)'!$A$2:$A$52,1)+1)-INDEX('hp (pSv cm2)'!$A$2:$A$52,MATCH($C206,'hp (pSv cm2)'!$A$2:$A$52,1))),$C206*'hp (pSv cm2)'!$B$2/'hp (pSv cm2)'!$A$2)</f>
        <v>4.3508820000000004</v>
      </c>
      <c r="G206" s="67">
        <f t="shared" si="15"/>
        <v>5.8345327620000003E-3</v>
      </c>
      <c r="H206" s="83">
        <f>_xlfn.IFNA(0.997*(INDEX('Mass attenuation coefficients'!$B$2:$B$37,MATCH($C206,'Mass attenuation coefficients'!$A$2:$A$37,1))+($C206-INDEX('Mass attenuation coefficients'!$A$2:$A$37,MATCH($C206,'Mass attenuation coefficients'!$A$2:$A$37,1)))*(INDEX('Mass attenuation coefficients'!$B$2:$B$37,MATCH($C206,'Mass attenuation coefficients'!$A$2:$A$37,1)+1)-INDEX('Mass attenuation coefficients'!$B$2:$B$37,MATCH($C206,'Mass attenuation coefficients'!$A$2:$A$37,1)))/(INDEX('Mass attenuation coefficients'!$A$2:$A$37,MATCH($C206,'Mass attenuation coefficients'!$A$2:$A$37,1)+1)-INDEX('Mass attenuation coefficients'!$A$2:$A$37,MATCH($C206,'Mass attenuation coefficients'!$A$2:$A$37,1)))),0.997*$C206*'Mass attenuation coefficients'!$B$2/'Mass attenuation coefficients'!$A$2)</f>
        <v>7.1955071740500004E-2</v>
      </c>
      <c r="I206" s="83">
        <f>_xlfn.IFNA(INDEX('Shultis Faw'!$C$2:$C$26,MATCH($C206,'Shultis Faw'!$A$2:$A$26,1))+($C206-INDEX('Shultis Faw'!$A$2:$A$26,MATCH($C206,'Shultis Faw'!$A$2:$A$26,1)))*(INDEX('Shultis Faw'!$C$2:$C$26,MATCH($C206,'Shultis Faw'!$A$2:$A$26,1)+1)-INDEX('Shultis Faw'!$C$2:$C$26,MATCH($C206,'Shultis Faw'!$A$2:$A$26,1)))/(INDEX('Shultis Faw'!$A$2:$A$26,MATCH($C206,'Shultis Faw'!$A$2:$A$26,1)+1)-INDEX('Shultis Faw'!$A$2:$A$26,MATCH($C206,'Shultis Faw'!$A$2:$A$26,1))),$C206*'Shultis Faw'!$C$2/'Shultis Faw'!$A$2)</f>
        <v>2.1229524500000001</v>
      </c>
      <c r="J206" s="83">
        <f>_xlfn.IFNA(INDEX('Shultis Faw'!$D$2:$D$26,MATCH($C206,'Shultis Faw'!$A$2:$A$26,1))+($C206-INDEX('Shultis Faw'!$A$2:$A$26,MATCH($C206,'Shultis Faw'!$A$2:$A$26,1)))*(INDEX('Shultis Faw'!$D$2:$D$26,MATCH($C206,'Shultis Faw'!$A$2:$A$26,1)+1)-INDEX('Shultis Faw'!$D$2:$D$26,MATCH($C206,'Shultis Faw'!$A$2:$A$26,1)))/(INDEX('Shultis Faw'!$A$2:$A$26,MATCH($C206,'Shultis Faw'!$A$2:$A$26,1)+1)-INDEX('Shultis Faw'!$A$2:$A$26,MATCH($C206,'Shultis Faw'!$A$2:$A$26,1))),$C206*'Shultis Faw'!$D$2/'Shultis Faw'!$A$2)</f>
        <v>1.45985415</v>
      </c>
      <c r="K206" s="83">
        <f>_xlfn.IFNA(INDEX('Shultis Faw'!$B$2:$B$26,MATCH($C206,'Shultis Faw'!$A$2:$A$26,1))+($C206-INDEX('Shultis Faw'!$A$2:$A$26,MATCH($C206,'Shultis Faw'!$A$2:$A$26,1)))*(INDEX('Shultis Faw'!$B$2:$B$26,MATCH($C206,'Shultis Faw'!$A$2:$A$26,1)+1)-INDEX('Shultis Faw'!$B$2:$B$26,MATCH($C206,'Shultis Faw'!$A$2:$A$26,1)))/(INDEX('Shultis Faw'!$A$2:$A$26,MATCH($C206,'Shultis Faw'!$A$2:$A$26,1)+1)-INDEX('Shultis Faw'!$A$2:$A$26,MATCH($C206,'Shultis Faw'!$A$2:$A$26,1))),$C206*'Shultis Faw'!$B$2/'Shultis Faw'!$A$2)</f>
        <v>-9.1928800000000005E-2</v>
      </c>
      <c r="L206" s="83">
        <f>_xlfn.IFNA(INDEX('Shultis Faw'!$E$2:$E$26,MATCH($C206,'Shultis Faw'!$A$2:$A$26,1))+($C206-INDEX('Shultis Faw'!$A$2:$A$26,MATCH($C206,'Shultis Faw'!$A$2:$A$26,1)))*(INDEX('Shultis Faw'!$E$2:$E$26,MATCH($C206,'Shultis Faw'!$A$2:$A$26,1)+1)-INDEX('Shultis Faw'!$E$2:$E$26,MATCH($C206,'Shultis Faw'!$A$2:$A$26,1)))/(INDEX('Shultis Faw'!$A$2:$A$26,MATCH($C206,'Shultis Faw'!$A$2:$A$26,1)+1)-INDEX('Shultis Faw'!$A$2:$A$26,MATCH($C206,'Shultis Faw'!$A$2:$A$26,1))),$C206*'Shultis Faw'!$E$2/'Shultis Faw'!$A$2)</f>
        <v>3.8879995000000001E-2</v>
      </c>
      <c r="M206" s="83">
        <f>_xlfn.IFNA(INDEX('Shultis Faw'!$F$2:$F$26,MATCH($C206,'Shultis Faw'!$A$2:$A$26,1))+($C206-INDEX('Shultis Faw'!$A$2:$A$26,MATCH($C206,'Shultis Faw'!$A$2:$A$26,1)))*(INDEX('Shultis Faw'!$F$2:$F$26,MATCH($C206,'Shultis Faw'!$A$2:$A$26,1)+1)-INDEX('Shultis Faw'!$F$2:$F$26,MATCH($C206,'Shultis Faw'!$A$2:$A$26,1)))/(INDEX('Shultis Faw'!$A$2:$A$26,MATCH($C206,'Shultis Faw'!$A$2:$A$26,1)+1)-INDEX('Shultis Faw'!$A$2:$A$26,MATCH($C206,'Shultis Faw'!$A$2:$A$26,1))),$C206*'Shultis Faw'!$F$2/'Shultis Faw'!$A$2)</f>
        <v>14.245627000000001</v>
      </c>
      <c r="N206" s="83">
        <f>J206*(H206*'Externe blootstelling'!$D$23/2)^K206+L206*(TANH(((H206*'Externe blootstelling'!$D$23)/(2*M206))-2)-TANH(-2))/(1-TANH(-2))</f>
        <v>1.449759486578496</v>
      </c>
      <c r="O206" s="83">
        <f>IF(N206=1,1+(I206-1)*H206*'Externe blootstelling'!$D$23/2,1+(I206-1)*(N206^(H206*'Externe blootstelling'!$D$23/2)-1)/(N206-1))</f>
        <v>2.231181871414238</v>
      </c>
      <c r="P206" s="67">
        <f>G206*EXP(-H206*'Externe blootstelling'!$D$23/2)*O206</f>
        <v>4.4238021604904249E-3</v>
      </c>
      <c r="Q206" s="68"/>
    </row>
    <row r="207" spans="1:17" x14ac:dyDescent="0.2">
      <c r="A207" s="217"/>
      <c r="B207" s="64" t="s">
        <v>104</v>
      </c>
      <c r="C207" s="66">
        <v>0.96407899999999991</v>
      </c>
      <c r="D207" s="66">
        <f t="shared" si="14"/>
        <v>1.5425263999999998E-13</v>
      </c>
      <c r="E207" s="66">
        <v>0.14499999999999999</v>
      </c>
      <c r="F207" s="66">
        <f>_xlfn.IFNA(INDEX('hp (pSv cm2)'!$B$2:$B$52,MATCH($C207,'hp (pSv cm2)'!$A$2:$A$52,1))+($C207-INDEX('hp (pSv cm2)'!$A$2:$A$52,MATCH($C207,'hp (pSv cm2)'!$A$2:$A$52,1)))*(INDEX('hp (pSv cm2)'!$B$2:$B$52,MATCH($C207,'hp (pSv cm2)'!$A$2:$A$52,1)+1)-INDEX('hp (pSv cm2)'!$B$2:$B$52,MATCH($C207,'hp (pSv cm2)'!$A$2:$A$52,1)))/(INDEX('hp (pSv cm2)'!$A$2:$A$52,MATCH($C207,'hp (pSv cm2)'!$A$2:$A$52,1)+1)-INDEX('hp (pSv cm2)'!$A$2:$A$52,MATCH($C207,'hp (pSv cm2)'!$A$2:$A$52,1))),$C207*'hp (pSv cm2)'!$B$2/'hp (pSv cm2)'!$A$2)</f>
        <v>4.3535002</v>
      </c>
      <c r="G207" s="67">
        <f t="shared" si="15"/>
        <v>0.63125752899999998</v>
      </c>
      <c r="H207" s="83">
        <f>_xlfn.IFNA(0.997*(INDEX('Mass attenuation coefficients'!$B$2:$B$37,MATCH($C207,'Mass attenuation coefficients'!$A$2:$A$37,1))+($C207-INDEX('Mass attenuation coefficients'!$A$2:$A$37,MATCH($C207,'Mass attenuation coefficients'!$A$2:$A$37,1)))*(INDEX('Mass attenuation coefficients'!$B$2:$B$37,MATCH($C207,'Mass attenuation coefficients'!$A$2:$A$37,1)+1)-INDEX('Mass attenuation coefficients'!$B$2:$B$37,MATCH($C207,'Mass attenuation coefficients'!$A$2:$A$37,1)))/(INDEX('Mass attenuation coefficients'!$A$2:$A$37,MATCH($C207,'Mass attenuation coefficients'!$A$2:$A$37,1)+1)-INDEX('Mass attenuation coefficients'!$A$2:$A$37,MATCH($C207,'Mass attenuation coefficients'!$A$2:$A$37,1)))),0.997*$C207*'Mass attenuation coefficients'!$B$2/'Mass attenuation coefficients'!$A$2)</f>
        <v>7.192783484705001E-2</v>
      </c>
      <c r="I207" s="83">
        <f>_xlfn.IFNA(INDEX('Shultis Faw'!$C$2:$C$26,MATCH($C207,'Shultis Faw'!$A$2:$A$26,1))+($C207-INDEX('Shultis Faw'!$A$2:$A$26,MATCH($C207,'Shultis Faw'!$A$2:$A$26,1)))*(INDEX('Shultis Faw'!$C$2:$C$26,MATCH($C207,'Shultis Faw'!$A$2:$A$26,1)+1)-INDEX('Shultis Faw'!$C$2:$C$26,MATCH($C207,'Shultis Faw'!$A$2:$A$26,1)))/(INDEX('Shultis Faw'!$A$2:$A$26,MATCH($C207,'Shultis Faw'!$A$2:$A$26,1)+1)-INDEX('Shultis Faw'!$A$2:$A$26,MATCH($C207,'Shultis Faw'!$A$2:$A$26,1))),$C207*'Shultis Faw'!$C$2/'Shultis Faw'!$A$2)</f>
        <v>2.122576945</v>
      </c>
      <c r="J207" s="83">
        <f>_xlfn.IFNA(INDEX('Shultis Faw'!$D$2:$D$26,MATCH($C207,'Shultis Faw'!$A$2:$A$26,1))+($C207-INDEX('Shultis Faw'!$A$2:$A$26,MATCH($C207,'Shultis Faw'!$A$2:$A$26,1)))*(INDEX('Shultis Faw'!$D$2:$D$26,MATCH($C207,'Shultis Faw'!$A$2:$A$26,1)+1)-INDEX('Shultis Faw'!$D$2:$D$26,MATCH($C207,'Shultis Faw'!$A$2:$A$26,1)))/(INDEX('Shultis Faw'!$A$2:$A$26,MATCH($C207,'Shultis Faw'!$A$2:$A$26,1)+1)-INDEX('Shultis Faw'!$A$2:$A$26,MATCH($C207,'Shultis Faw'!$A$2:$A$26,1))),$C207*'Shultis Faw'!$D$2/'Shultis Faw'!$A$2)</f>
        <v>1.4594993150000002</v>
      </c>
      <c r="K207" s="83">
        <f>_xlfn.IFNA(INDEX('Shultis Faw'!$B$2:$B$26,MATCH($C207,'Shultis Faw'!$A$2:$A$26,1))+($C207-INDEX('Shultis Faw'!$A$2:$A$26,MATCH($C207,'Shultis Faw'!$A$2:$A$26,1)))*(INDEX('Shultis Faw'!$B$2:$B$26,MATCH($C207,'Shultis Faw'!$A$2:$A$26,1)+1)-INDEX('Shultis Faw'!$B$2:$B$26,MATCH($C207,'Shultis Faw'!$A$2:$A$26,1)))/(INDEX('Shultis Faw'!$A$2:$A$26,MATCH($C207,'Shultis Faw'!$A$2:$A$26,1)+1)-INDEX('Shultis Faw'!$A$2:$A$26,MATCH($C207,'Shultis Faw'!$A$2:$A$26,1))),$C207*'Shultis Faw'!$B$2/'Shultis Faw'!$A$2)</f>
        <v>-9.1873679999999999E-2</v>
      </c>
      <c r="L207" s="83">
        <f>_xlfn.IFNA(INDEX('Shultis Faw'!$E$2:$E$26,MATCH($C207,'Shultis Faw'!$A$2:$A$26,1))+($C207-INDEX('Shultis Faw'!$A$2:$A$26,MATCH($C207,'Shultis Faw'!$A$2:$A$26,1)))*(INDEX('Shultis Faw'!$E$2:$E$26,MATCH($C207,'Shultis Faw'!$A$2:$A$26,1)+1)-INDEX('Shultis Faw'!$E$2:$E$26,MATCH($C207,'Shultis Faw'!$A$2:$A$26,1)))/(INDEX('Shultis Faw'!$A$2:$A$26,MATCH($C207,'Shultis Faw'!$A$2:$A$26,1)+1)-INDEX('Shultis Faw'!$A$2:$A$26,MATCH($C207,'Shultis Faw'!$A$2:$A$26,1))),$C207*'Shultis Faw'!$E$2/'Shultis Faw'!$A$2)</f>
        <v>3.8859669500000006E-2</v>
      </c>
      <c r="M207" s="83">
        <f>_xlfn.IFNA(INDEX('Shultis Faw'!$F$2:$F$26,MATCH($C207,'Shultis Faw'!$A$2:$A$26,1))+($C207-INDEX('Shultis Faw'!$A$2:$A$26,MATCH($C207,'Shultis Faw'!$A$2:$A$26,1)))*(INDEX('Shultis Faw'!$F$2:$F$26,MATCH($C207,'Shultis Faw'!$A$2:$A$26,1)+1)-INDEX('Shultis Faw'!$F$2:$F$26,MATCH($C207,'Shultis Faw'!$A$2:$A$26,1)))/(INDEX('Shultis Faw'!$A$2:$A$26,MATCH($C207,'Shultis Faw'!$A$2:$A$26,1)+1)-INDEX('Shultis Faw'!$A$2:$A$26,MATCH($C207,'Shultis Faw'!$A$2:$A$26,1))),$C207*'Shultis Faw'!$F$2/'Shultis Faw'!$A$2)</f>
        <v>14.245144700000001</v>
      </c>
      <c r="N207" s="83">
        <f>J207*(H207*'Externe blootstelling'!$D$23/2)^K207+L207*(TANH(((H207*'Externe blootstelling'!$D$23)/(2*M207))-2)-TANH(-2))/(1-TANH(-2))</f>
        <v>1.4494635413859918</v>
      </c>
      <c r="O207" s="83">
        <f>IF(N207=1,1+(I207-1)*H207*'Externe blootstelling'!$D$23/2,1+(I207-1)*(N207^(H207*'Externe blootstelling'!$D$23/2)-1)/(N207-1))</f>
        <v>2.2301935629405163</v>
      </c>
      <c r="P207" s="67">
        <f>G207*EXP(-H207*'Externe blootstelling'!$D$23/2)*O207</f>
        <v>0.47860937619951965</v>
      </c>
      <c r="Q207" s="68"/>
    </row>
    <row r="208" spans="1:17" x14ac:dyDescent="0.2">
      <c r="A208" s="217"/>
      <c r="B208" s="64" t="s">
        <v>104</v>
      </c>
      <c r="C208" s="66">
        <v>0.97409000000000001</v>
      </c>
      <c r="D208" s="66">
        <f t="shared" si="14"/>
        <v>1.558544E-13</v>
      </c>
      <c r="E208" s="66">
        <v>1.3799999999999999E-4</v>
      </c>
      <c r="F208" s="66">
        <f>_xlfn.IFNA(INDEX('hp (pSv cm2)'!$B$2:$B$52,MATCH($C208,'hp (pSv cm2)'!$A$2:$A$52,1))+($C208-INDEX('hp (pSv cm2)'!$A$2:$A$52,MATCH($C208,'hp (pSv cm2)'!$A$2:$A$52,1)))*(INDEX('hp (pSv cm2)'!$B$2:$B$52,MATCH($C208,'hp (pSv cm2)'!$A$2:$A$52,1)+1)-INDEX('hp (pSv cm2)'!$B$2:$B$52,MATCH($C208,'hp (pSv cm2)'!$A$2:$A$52,1)))/(INDEX('hp (pSv cm2)'!$A$2:$A$52,MATCH($C208,'hp (pSv cm2)'!$A$2:$A$52,1)+1)-INDEX('hp (pSv cm2)'!$A$2:$A$52,MATCH($C208,'hp (pSv cm2)'!$A$2:$A$52,1))),$C208*'hp (pSv cm2)'!$B$2/'hp (pSv cm2)'!$A$2)</f>
        <v>4.3915420000000003</v>
      </c>
      <c r="G208" s="67">
        <f t="shared" si="15"/>
        <v>6.0603279600000002E-4</v>
      </c>
      <c r="H208" s="83">
        <f>_xlfn.IFNA(0.997*(INDEX('Mass attenuation coefficients'!$B$2:$B$37,MATCH($C208,'Mass attenuation coefficients'!$A$2:$A$37,1))+($C208-INDEX('Mass attenuation coefficients'!$A$2:$A$37,MATCH($C208,'Mass attenuation coefficients'!$A$2:$A$37,1)))*(INDEX('Mass attenuation coefficients'!$B$2:$B$37,MATCH($C208,'Mass attenuation coefficients'!$A$2:$A$37,1)+1)-INDEX('Mass attenuation coefficients'!$B$2:$B$37,MATCH($C208,'Mass attenuation coefficients'!$A$2:$A$37,1)))/(INDEX('Mass attenuation coefficients'!$A$2:$A$37,MATCH($C208,'Mass attenuation coefficients'!$A$2:$A$37,1)+1)-INDEX('Mass attenuation coefficients'!$A$2:$A$37,MATCH($C208,'Mass attenuation coefficients'!$A$2:$A$37,1)))),0.997*$C208*'Mass attenuation coefficients'!$B$2/'Mass attenuation coefficients'!$A$2)</f>
        <v>7.1532089505499996E-2</v>
      </c>
      <c r="I208" s="83">
        <f>_xlfn.IFNA(INDEX('Shultis Faw'!$C$2:$C$26,MATCH($C208,'Shultis Faw'!$A$2:$A$26,1))+($C208-INDEX('Shultis Faw'!$A$2:$A$26,MATCH($C208,'Shultis Faw'!$A$2:$A$26,1)))*(INDEX('Shultis Faw'!$C$2:$C$26,MATCH($C208,'Shultis Faw'!$A$2:$A$26,1)+1)-INDEX('Shultis Faw'!$C$2:$C$26,MATCH($C208,'Shultis Faw'!$A$2:$A$26,1)))/(INDEX('Shultis Faw'!$A$2:$A$26,MATCH($C208,'Shultis Faw'!$A$2:$A$26,1)+1)-INDEX('Shultis Faw'!$A$2:$A$26,MATCH($C208,'Shultis Faw'!$A$2:$A$26,1))),$C208*'Shultis Faw'!$C$2/'Shultis Faw'!$A$2)</f>
        <v>2.1171209500000003</v>
      </c>
      <c r="J208" s="83">
        <f>_xlfn.IFNA(INDEX('Shultis Faw'!$D$2:$D$26,MATCH($C208,'Shultis Faw'!$A$2:$A$26,1))+($C208-INDEX('Shultis Faw'!$A$2:$A$26,MATCH($C208,'Shultis Faw'!$A$2:$A$26,1)))*(INDEX('Shultis Faw'!$D$2:$D$26,MATCH($C208,'Shultis Faw'!$A$2:$A$26,1)+1)-INDEX('Shultis Faw'!$D$2:$D$26,MATCH($C208,'Shultis Faw'!$A$2:$A$26,1)))/(INDEX('Shultis Faw'!$A$2:$A$26,MATCH($C208,'Shultis Faw'!$A$2:$A$26,1)+1)-INDEX('Shultis Faw'!$A$2:$A$26,MATCH($C208,'Shultis Faw'!$A$2:$A$26,1))),$C208*'Shultis Faw'!$D$2/'Shultis Faw'!$A$2)</f>
        <v>1.45434365</v>
      </c>
      <c r="K208" s="83">
        <f>_xlfn.IFNA(INDEX('Shultis Faw'!$B$2:$B$26,MATCH($C208,'Shultis Faw'!$A$2:$A$26,1))+($C208-INDEX('Shultis Faw'!$A$2:$A$26,MATCH($C208,'Shultis Faw'!$A$2:$A$26,1)))*(INDEX('Shultis Faw'!$B$2:$B$26,MATCH($C208,'Shultis Faw'!$A$2:$A$26,1)+1)-INDEX('Shultis Faw'!$B$2:$B$26,MATCH($C208,'Shultis Faw'!$A$2:$A$26,1)))/(INDEX('Shultis Faw'!$A$2:$A$26,MATCH($C208,'Shultis Faw'!$A$2:$A$26,1)+1)-INDEX('Shultis Faw'!$A$2:$A$26,MATCH($C208,'Shultis Faw'!$A$2:$A$26,1))),$C208*'Shultis Faw'!$B$2/'Shultis Faw'!$A$2)</f>
        <v>-9.1072799999999995E-2</v>
      </c>
      <c r="L208" s="83">
        <f>_xlfn.IFNA(INDEX('Shultis Faw'!$E$2:$E$26,MATCH($C208,'Shultis Faw'!$A$2:$A$26,1))+($C208-INDEX('Shultis Faw'!$A$2:$A$26,MATCH($C208,'Shultis Faw'!$A$2:$A$26,1)))*(INDEX('Shultis Faw'!$E$2:$E$26,MATCH($C208,'Shultis Faw'!$A$2:$A$26,1)+1)-INDEX('Shultis Faw'!$E$2:$E$26,MATCH($C208,'Shultis Faw'!$A$2:$A$26,1)))/(INDEX('Shultis Faw'!$A$2:$A$26,MATCH($C208,'Shultis Faw'!$A$2:$A$26,1)+1)-INDEX('Shultis Faw'!$A$2:$A$26,MATCH($C208,'Shultis Faw'!$A$2:$A$26,1))),$C208*'Shultis Faw'!$E$2/'Shultis Faw'!$A$2)</f>
        <v>3.8564345E-2</v>
      </c>
      <c r="M208" s="83">
        <f>_xlfn.IFNA(INDEX('Shultis Faw'!$F$2:$F$26,MATCH($C208,'Shultis Faw'!$A$2:$A$26,1))+($C208-INDEX('Shultis Faw'!$A$2:$A$26,MATCH($C208,'Shultis Faw'!$A$2:$A$26,1)))*(INDEX('Shultis Faw'!$F$2:$F$26,MATCH($C208,'Shultis Faw'!$A$2:$A$26,1)+1)-INDEX('Shultis Faw'!$F$2:$F$26,MATCH($C208,'Shultis Faw'!$A$2:$A$26,1)))/(INDEX('Shultis Faw'!$A$2:$A$26,MATCH($C208,'Shultis Faw'!$A$2:$A$26,1)+1)-INDEX('Shultis Faw'!$A$2:$A$26,MATCH($C208,'Shultis Faw'!$A$2:$A$26,1))),$C208*'Shultis Faw'!$F$2/'Shultis Faw'!$A$2)</f>
        <v>14.238137</v>
      </c>
      <c r="N208" s="83">
        <f>J208*(H208*'Externe blootstelling'!$D$23/2)^K208+L208*(TANH(((H208*'Externe blootstelling'!$D$23)/(2*M208))-2)-TANH(-2))/(1-TANH(-2))</f>
        <v>1.4451560152484957</v>
      </c>
      <c r="O208" s="83">
        <f>IF(N208=1,1+(I208-1)*H208*'Externe blootstelling'!$D$23/2,1+(I208-1)*(N208^(H208*'Externe blootstelling'!$D$23/2)-1)/(N208-1))</f>
        <v>2.2159005284973459</v>
      </c>
      <c r="P208" s="67">
        <f>G208*EXP(-H208*'Externe blootstelling'!$D$23/2)*O208</f>
        <v>4.5925776908518532E-4</v>
      </c>
      <c r="Q208" s="68"/>
    </row>
    <row r="209" spans="1:17" x14ac:dyDescent="0.2">
      <c r="A209" s="217"/>
      <c r="B209" s="64" t="s">
        <v>104</v>
      </c>
      <c r="C209" s="66">
        <v>0.99019000000000001</v>
      </c>
      <c r="D209" s="66">
        <f t="shared" si="14"/>
        <v>1.5843039999999999E-13</v>
      </c>
      <c r="E209" s="66">
        <v>3.1500000000000001E-4</v>
      </c>
      <c r="F209" s="66">
        <f>_xlfn.IFNA(INDEX('hp (pSv cm2)'!$B$2:$B$52,MATCH($C209,'hp (pSv cm2)'!$A$2:$A$52,1))+($C209-INDEX('hp (pSv cm2)'!$A$2:$A$52,MATCH($C209,'hp (pSv cm2)'!$A$2:$A$52,1)))*(INDEX('hp (pSv cm2)'!$B$2:$B$52,MATCH($C209,'hp (pSv cm2)'!$A$2:$A$52,1)+1)-INDEX('hp (pSv cm2)'!$B$2:$B$52,MATCH($C209,'hp (pSv cm2)'!$A$2:$A$52,1)))/(INDEX('hp (pSv cm2)'!$A$2:$A$52,MATCH($C209,'hp (pSv cm2)'!$A$2:$A$52,1)+1)-INDEX('hp (pSv cm2)'!$A$2:$A$52,MATCH($C209,'hp (pSv cm2)'!$A$2:$A$52,1))),$C209*'hp (pSv cm2)'!$B$2/'hp (pSv cm2)'!$A$2)</f>
        <v>4.4527220000000005</v>
      </c>
      <c r="G209" s="67">
        <f t="shared" si="15"/>
        <v>1.4026074300000002E-3</v>
      </c>
      <c r="H209" s="83">
        <f>_xlfn.IFNA(0.997*(INDEX('Mass attenuation coefficients'!$B$2:$B$37,MATCH($C209,'Mass attenuation coefficients'!$A$2:$A$37,1))+($C209-INDEX('Mass attenuation coefficients'!$A$2:$A$37,MATCH($C209,'Mass attenuation coefficients'!$A$2:$A$37,1)))*(INDEX('Mass attenuation coefficients'!$B$2:$B$37,MATCH($C209,'Mass attenuation coefficients'!$A$2:$A$37,1)+1)-INDEX('Mass attenuation coefficients'!$B$2:$B$37,MATCH($C209,'Mass attenuation coefficients'!$A$2:$A$37,1)))/(INDEX('Mass attenuation coefficients'!$A$2:$A$37,MATCH($C209,'Mass attenuation coefficients'!$A$2:$A$37,1)+1)-INDEX('Mass attenuation coefficients'!$A$2:$A$37,MATCH($C209,'Mass attenuation coefficients'!$A$2:$A$37,1)))),0.997*$C209*'Mass attenuation coefficients'!$B$2/'Mass attenuation coefficients'!$A$2)</f>
        <v>7.0895639600500007E-2</v>
      </c>
      <c r="I209" s="83">
        <f>_xlfn.IFNA(INDEX('Shultis Faw'!$C$2:$C$26,MATCH($C209,'Shultis Faw'!$A$2:$A$26,1))+($C209-INDEX('Shultis Faw'!$A$2:$A$26,MATCH($C209,'Shultis Faw'!$A$2:$A$26,1)))*(INDEX('Shultis Faw'!$C$2:$C$26,MATCH($C209,'Shultis Faw'!$A$2:$A$26,1)+1)-INDEX('Shultis Faw'!$C$2:$C$26,MATCH($C209,'Shultis Faw'!$A$2:$A$26,1)))/(INDEX('Shultis Faw'!$A$2:$A$26,MATCH($C209,'Shultis Faw'!$A$2:$A$26,1)+1)-INDEX('Shultis Faw'!$A$2:$A$26,MATCH($C209,'Shultis Faw'!$A$2:$A$26,1))),$C209*'Shultis Faw'!$C$2/'Shultis Faw'!$A$2)</f>
        <v>2.10834645</v>
      </c>
      <c r="J209" s="83">
        <f>_xlfn.IFNA(INDEX('Shultis Faw'!$D$2:$D$26,MATCH($C209,'Shultis Faw'!$A$2:$A$26,1))+($C209-INDEX('Shultis Faw'!$A$2:$A$26,MATCH($C209,'Shultis Faw'!$A$2:$A$26,1)))*(INDEX('Shultis Faw'!$D$2:$D$26,MATCH($C209,'Shultis Faw'!$A$2:$A$26,1)+1)-INDEX('Shultis Faw'!$D$2:$D$26,MATCH($C209,'Shultis Faw'!$A$2:$A$26,1)))/(INDEX('Shultis Faw'!$A$2:$A$26,MATCH($C209,'Shultis Faw'!$A$2:$A$26,1)+1)-INDEX('Shultis Faw'!$A$2:$A$26,MATCH($C209,'Shultis Faw'!$A$2:$A$26,1))),$C209*'Shultis Faw'!$D$2/'Shultis Faw'!$A$2)</f>
        <v>1.4460521500000001</v>
      </c>
      <c r="K209" s="83">
        <f>_xlfn.IFNA(INDEX('Shultis Faw'!$B$2:$B$26,MATCH($C209,'Shultis Faw'!$A$2:$A$26,1))+($C209-INDEX('Shultis Faw'!$A$2:$A$26,MATCH($C209,'Shultis Faw'!$A$2:$A$26,1)))*(INDEX('Shultis Faw'!$B$2:$B$26,MATCH($C209,'Shultis Faw'!$A$2:$A$26,1)+1)-INDEX('Shultis Faw'!$B$2:$B$26,MATCH($C209,'Shultis Faw'!$A$2:$A$26,1)))/(INDEX('Shultis Faw'!$A$2:$A$26,MATCH($C209,'Shultis Faw'!$A$2:$A$26,1)+1)-INDEX('Shultis Faw'!$A$2:$A$26,MATCH($C209,'Shultis Faw'!$A$2:$A$26,1))),$C209*'Shultis Faw'!$B$2/'Shultis Faw'!$A$2)</f>
        <v>-8.9784799999999998E-2</v>
      </c>
      <c r="L209" s="83">
        <f>_xlfn.IFNA(INDEX('Shultis Faw'!$E$2:$E$26,MATCH($C209,'Shultis Faw'!$A$2:$A$26,1))+($C209-INDEX('Shultis Faw'!$A$2:$A$26,MATCH($C209,'Shultis Faw'!$A$2:$A$26,1)))*(INDEX('Shultis Faw'!$E$2:$E$26,MATCH($C209,'Shultis Faw'!$A$2:$A$26,1)+1)-INDEX('Shultis Faw'!$E$2:$E$26,MATCH($C209,'Shultis Faw'!$A$2:$A$26,1)))/(INDEX('Shultis Faw'!$A$2:$A$26,MATCH($C209,'Shultis Faw'!$A$2:$A$26,1)+1)-INDEX('Shultis Faw'!$A$2:$A$26,MATCH($C209,'Shultis Faw'!$A$2:$A$26,1))),$C209*'Shultis Faw'!$E$2/'Shultis Faw'!$A$2)</f>
        <v>3.8089394999999998E-2</v>
      </c>
      <c r="M209" s="83">
        <f>_xlfn.IFNA(INDEX('Shultis Faw'!$F$2:$F$26,MATCH($C209,'Shultis Faw'!$A$2:$A$26,1))+($C209-INDEX('Shultis Faw'!$A$2:$A$26,MATCH($C209,'Shultis Faw'!$A$2:$A$26,1)))*(INDEX('Shultis Faw'!$F$2:$F$26,MATCH($C209,'Shultis Faw'!$A$2:$A$26,1)+1)-INDEX('Shultis Faw'!$F$2:$F$26,MATCH($C209,'Shultis Faw'!$A$2:$A$26,1)))/(INDEX('Shultis Faw'!$A$2:$A$26,MATCH($C209,'Shultis Faw'!$A$2:$A$26,1)+1)-INDEX('Shultis Faw'!$A$2:$A$26,MATCH($C209,'Shultis Faw'!$A$2:$A$26,1))),$C209*'Shultis Faw'!$F$2/'Shultis Faw'!$A$2)</f>
        <v>14.226867</v>
      </c>
      <c r="N209" s="83">
        <f>J209*(H209*'Externe blootstelling'!$D$23/2)^K209+L209*(TANH(((H209*'Externe blootstelling'!$D$23)/(2*M209))-2)-TANH(-2))/(1-TANH(-2))</f>
        <v>1.4381990465571179</v>
      </c>
      <c r="O209" s="83">
        <f>IF(N209=1,1+(I209-1)*H209*'Externe blootstelling'!$D$23/2,1+(I209-1)*(N209^(H209*'Externe blootstelling'!$D$23/2)-1)/(N209-1))</f>
        <v>2.1931744917129103</v>
      </c>
      <c r="P209" s="67">
        <f>G209*EXP(-H209*'Externe blootstelling'!$D$23/2)*O209</f>
        <v>1.0621003334078522E-3</v>
      </c>
      <c r="Q209" s="68"/>
    </row>
    <row r="210" spans="1:17" x14ac:dyDescent="0.2">
      <c r="A210" s="217"/>
      <c r="B210" s="64" t="s">
        <v>104</v>
      </c>
      <c r="C210" s="66">
        <v>1.0011000000000001</v>
      </c>
      <c r="D210" s="66">
        <f t="shared" si="14"/>
        <v>1.6017600000000002E-13</v>
      </c>
      <c r="E210" s="66">
        <v>4.6E-5</v>
      </c>
      <c r="F210" s="66">
        <f>_xlfn.IFNA(INDEX('hp (pSv cm2)'!$B$2:$B$52,MATCH($C210,'hp (pSv cm2)'!$A$2:$A$52,1))+($C210-INDEX('hp (pSv cm2)'!$A$2:$A$52,MATCH($C210,'hp (pSv cm2)'!$A$2:$A$52,1)))*(INDEX('hp (pSv cm2)'!$B$2:$B$52,MATCH($C210,'hp (pSv cm2)'!$A$2:$A$52,1)+1)-INDEX('hp (pSv cm2)'!$B$2:$B$52,MATCH($C210,'hp (pSv cm2)'!$A$2:$A$52,1)))/(INDEX('hp (pSv cm2)'!$A$2:$A$52,MATCH($C210,'hp (pSv cm2)'!$A$2:$A$52,1)+1)-INDEX('hp (pSv cm2)'!$A$2:$A$52,MATCH($C210,'hp (pSv cm2)'!$A$2:$A$52,1))),$C210*'hp (pSv cm2)'!$B$2/'hp (pSv cm2)'!$A$2)</f>
        <v>4.4935860000000005</v>
      </c>
      <c r="G210" s="67">
        <f t="shared" si="15"/>
        <v>2.0670495600000002E-4</v>
      </c>
      <c r="H210" s="83">
        <f>_xlfn.IFNA(0.997*(INDEX('Mass attenuation coefficients'!$B$2:$B$37,MATCH($C210,'Mass attenuation coefficients'!$A$2:$A$37,1))+($C210-INDEX('Mass attenuation coefficients'!$A$2:$A$37,MATCH($C210,'Mass attenuation coefficients'!$A$2:$A$37,1)))*(INDEX('Mass attenuation coefficients'!$B$2:$B$37,MATCH($C210,'Mass attenuation coefficients'!$A$2:$A$37,1)+1)-INDEX('Mass attenuation coefficients'!$B$2:$B$37,MATCH($C210,'Mass attenuation coefficients'!$A$2:$A$37,1)))/(INDEX('Mass attenuation coefficients'!$A$2:$A$37,MATCH($C210,'Mass attenuation coefficients'!$A$2:$A$37,1)+1)-INDEX('Mass attenuation coefficients'!$A$2:$A$37,MATCH($C210,'Mass attenuation coefficients'!$A$2:$A$37,1)))),0.997*$C210*'Mass attenuation coefficients'!$B$2/'Mass attenuation coefficients'!$A$2)</f>
        <v>7.0474982868000011E-2</v>
      </c>
      <c r="I210" s="83">
        <f>_xlfn.IFNA(INDEX('Shultis Faw'!$C$2:$C$26,MATCH($C210,'Shultis Faw'!$A$2:$A$26,1))+($C210-INDEX('Shultis Faw'!$A$2:$A$26,MATCH($C210,'Shultis Faw'!$A$2:$A$26,1)))*(INDEX('Shultis Faw'!$C$2:$C$26,MATCH($C210,'Shultis Faw'!$A$2:$A$26,1)+1)-INDEX('Shultis Faw'!$C$2:$C$26,MATCH($C210,'Shultis Faw'!$A$2:$A$26,1)))/(INDEX('Shultis Faw'!$A$2:$A$26,MATCH($C210,'Shultis Faw'!$A$2:$A$26,1)+1)-INDEX('Shultis Faw'!$A$2:$A$26,MATCH($C210,'Shultis Faw'!$A$2:$A$26,1))),$C210*'Shultis Faw'!$C$2/'Shultis Faw'!$A$2)</f>
        <v>2.1026392</v>
      </c>
      <c r="J210" s="83">
        <f>_xlfn.IFNA(INDEX('Shultis Faw'!$D$2:$D$26,MATCH($C210,'Shultis Faw'!$A$2:$A$26,1))+($C210-INDEX('Shultis Faw'!$A$2:$A$26,MATCH($C210,'Shultis Faw'!$A$2:$A$26,1)))*(INDEX('Shultis Faw'!$D$2:$D$26,MATCH($C210,'Shultis Faw'!$A$2:$A$26,1)+1)-INDEX('Shultis Faw'!$D$2:$D$26,MATCH($C210,'Shultis Faw'!$A$2:$A$26,1)))/(INDEX('Shultis Faw'!$A$2:$A$26,MATCH($C210,'Shultis Faw'!$A$2:$A$26,1)+1)-INDEX('Shultis Faw'!$A$2:$A$26,MATCH($C210,'Shultis Faw'!$A$2:$A$26,1))),$C210*'Shultis Faw'!$D$2/'Shultis Faw'!$A$2)</f>
        <v>1.4406216000000001</v>
      </c>
      <c r="K210" s="83">
        <f>_xlfn.IFNA(INDEX('Shultis Faw'!$B$2:$B$26,MATCH($C210,'Shultis Faw'!$A$2:$A$26,1))+($C210-INDEX('Shultis Faw'!$A$2:$A$26,MATCH($C210,'Shultis Faw'!$A$2:$A$26,1)))*(INDEX('Shultis Faw'!$B$2:$B$26,MATCH($C210,'Shultis Faw'!$A$2:$A$26,1)+1)-INDEX('Shultis Faw'!$B$2:$B$26,MATCH($C210,'Shultis Faw'!$A$2:$A$26,1)))/(INDEX('Shultis Faw'!$A$2:$A$26,MATCH($C210,'Shultis Faw'!$A$2:$A$26,1)+1)-INDEX('Shultis Faw'!$A$2:$A$26,MATCH($C210,'Shultis Faw'!$A$2:$A$26,1))),$C210*'Shultis Faw'!$B$2/'Shultis Faw'!$A$2)</f>
        <v>-8.8931799999999991E-2</v>
      </c>
      <c r="L210" s="83">
        <f>_xlfn.IFNA(INDEX('Shultis Faw'!$E$2:$E$26,MATCH($C210,'Shultis Faw'!$A$2:$A$26,1))+($C210-INDEX('Shultis Faw'!$A$2:$A$26,MATCH($C210,'Shultis Faw'!$A$2:$A$26,1)))*(INDEX('Shultis Faw'!$E$2:$E$26,MATCH($C210,'Shultis Faw'!$A$2:$A$26,1)+1)-INDEX('Shultis Faw'!$E$2:$E$26,MATCH($C210,'Shultis Faw'!$A$2:$A$26,1)))/(INDEX('Shultis Faw'!$A$2:$A$26,MATCH($C210,'Shultis Faw'!$A$2:$A$26,1)+1)-INDEX('Shultis Faw'!$A$2:$A$26,MATCH($C210,'Shultis Faw'!$A$2:$A$26,1))),$C210*'Shultis Faw'!$E$2/'Shultis Faw'!$A$2)</f>
        <v>3.7770959999999999E-2</v>
      </c>
      <c r="M210" s="83">
        <f>_xlfn.IFNA(INDEX('Shultis Faw'!$F$2:$F$26,MATCH($C210,'Shultis Faw'!$A$2:$A$26,1))+($C210-INDEX('Shultis Faw'!$A$2:$A$26,MATCH($C210,'Shultis Faw'!$A$2:$A$26,1)))*(INDEX('Shultis Faw'!$F$2:$F$26,MATCH($C210,'Shultis Faw'!$A$2:$A$26,1)+1)-INDEX('Shultis Faw'!$F$2:$F$26,MATCH($C210,'Shultis Faw'!$A$2:$A$26,1)))/(INDEX('Shultis Faw'!$A$2:$A$26,MATCH($C210,'Shultis Faw'!$A$2:$A$26,1)+1)-INDEX('Shultis Faw'!$A$2:$A$26,MATCH($C210,'Shultis Faw'!$A$2:$A$26,1))),$C210*'Shultis Faw'!$F$2/'Shultis Faw'!$A$2)</f>
        <v>14.220660000000001</v>
      </c>
      <c r="N210" s="83">
        <f>J210*(H210*'Externe blootstelling'!$D$23/2)^K210+L210*(TANH(((H210*'Externe blootstelling'!$D$23)/(2*M210))-2)-TANH(-2))/(1-TANH(-2))</f>
        <v>1.4336304853544992</v>
      </c>
      <c r="O210" s="83">
        <f>IF(N210=1,1+(I210-1)*H210*'Externe blootstelling'!$D$23/2,1+(I210-1)*(N210^(H210*'Externe blootstelling'!$D$23/2)-1)/(N210-1))</f>
        <v>2.1784283065326262</v>
      </c>
      <c r="P210" s="67">
        <f>G210*EXP(-H210*'Externe blootstelling'!$D$23/2)*O210</f>
        <v>1.5645545809146865E-4</v>
      </c>
      <c r="Q210" s="68"/>
    </row>
    <row r="211" spans="1:17" x14ac:dyDescent="0.2">
      <c r="A211" s="217"/>
      <c r="B211" s="64" t="s">
        <v>104</v>
      </c>
      <c r="C211" s="66">
        <v>1.0052719999999999</v>
      </c>
      <c r="D211" s="66">
        <f t="shared" si="14"/>
        <v>1.6084352E-13</v>
      </c>
      <c r="E211" s="66">
        <v>6.6500000000000005E-3</v>
      </c>
      <c r="F211" s="66">
        <f>_xlfn.IFNA(INDEX('hp (pSv cm2)'!$B$2:$B$52,MATCH($C211,'hp (pSv cm2)'!$A$2:$A$52,1))+($C211-INDEX('hp (pSv cm2)'!$A$2:$A$52,MATCH($C211,'hp (pSv cm2)'!$A$2:$A$52,1)))*(INDEX('hp (pSv cm2)'!$B$2:$B$52,MATCH($C211,'hp (pSv cm2)'!$A$2:$A$52,1)+1)-INDEX('hp (pSv cm2)'!$B$2:$B$52,MATCH($C211,'hp (pSv cm2)'!$A$2:$A$52,1)))/(INDEX('hp (pSv cm2)'!$A$2:$A$52,MATCH($C211,'hp (pSv cm2)'!$A$2:$A$52,1)+1)-INDEX('hp (pSv cm2)'!$A$2:$A$52,MATCH($C211,'hp (pSv cm2)'!$A$2:$A$52,1))),$C211*'hp (pSv cm2)'!$B$2/'hp (pSv cm2)'!$A$2)</f>
        <v>4.50718672</v>
      </c>
      <c r="G211" s="67">
        <f t="shared" si="15"/>
        <v>2.9972791688000003E-2</v>
      </c>
      <c r="H211" s="83">
        <f>_xlfn.IFNA(0.997*(INDEX('Mass attenuation coefficients'!$B$2:$B$37,MATCH($C211,'Mass attenuation coefficients'!$A$2:$A$37,1))+($C211-INDEX('Mass attenuation coefficients'!$A$2:$A$37,MATCH($C211,'Mass attenuation coefficients'!$A$2:$A$37,1)))*(INDEX('Mass attenuation coefficients'!$B$2:$B$37,MATCH($C211,'Mass attenuation coefficients'!$A$2:$A$37,1)+1)-INDEX('Mass attenuation coefficients'!$B$2:$B$37,MATCH($C211,'Mass attenuation coefficients'!$A$2:$A$37,1)))/(INDEX('Mass attenuation coefficients'!$A$2:$A$37,MATCH($C211,'Mass attenuation coefficients'!$A$2:$A$37,1)+1)-INDEX('Mass attenuation coefficients'!$A$2:$A$37,MATCH($C211,'Mass attenuation coefficients'!$A$2:$A$37,1)))),0.997*$C211*'Mass attenuation coefficients'!$B$2/'Mass attenuation coefficients'!$A$2)</f>
        <v>7.0350364727360004E-2</v>
      </c>
      <c r="I211" s="83">
        <f>_xlfn.IFNA(INDEX('Shultis Faw'!$C$2:$C$26,MATCH($C211,'Shultis Faw'!$A$2:$A$26,1))+($C211-INDEX('Shultis Faw'!$A$2:$A$26,MATCH($C211,'Shultis Faw'!$A$2:$A$26,1)))*(INDEX('Shultis Faw'!$C$2:$C$26,MATCH($C211,'Shultis Faw'!$A$2:$A$26,1)+1)-INDEX('Shultis Faw'!$C$2:$C$26,MATCH($C211,'Shultis Faw'!$A$2:$A$26,1)))/(INDEX('Shultis Faw'!$A$2:$A$26,MATCH($C211,'Shultis Faw'!$A$2:$A$26,1)+1)-INDEX('Shultis Faw'!$A$2:$A$26,MATCH($C211,'Shultis Faw'!$A$2:$A$26,1))),$C211*'Shultis Faw'!$C$2/'Shultis Faw'!$A$2)</f>
        <v>2.101270784</v>
      </c>
      <c r="J211" s="83">
        <f>_xlfn.IFNA(INDEX('Shultis Faw'!$D$2:$D$26,MATCH($C211,'Shultis Faw'!$A$2:$A$26,1))+($C211-INDEX('Shultis Faw'!$A$2:$A$26,MATCH($C211,'Shultis Faw'!$A$2:$A$26,1)))*(INDEX('Shultis Faw'!$D$2:$D$26,MATCH($C211,'Shultis Faw'!$A$2:$A$26,1)+1)-INDEX('Shultis Faw'!$D$2:$D$26,MATCH($C211,'Shultis Faw'!$A$2:$A$26,1)))/(INDEX('Shultis Faw'!$A$2:$A$26,MATCH($C211,'Shultis Faw'!$A$2:$A$26,1)+1)-INDEX('Shultis Faw'!$A$2:$A$26,MATCH($C211,'Shultis Faw'!$A$2:$A$26,1))),$C211*'Shultis Faw'!$D$2/'Shultis Faw'!$A$2)</f>
        <v>1.4391864320000001</v>
      </c>
      <c r="K211" s="83">
        <f>_xlfn.IFNA(INDEX('Shultis Faw'!$B$2:$B$26,MATCH($C211,'Shultis Faw'!$A$2:$A$26,1))+($C211-INDEX('Shultis Faw'!$A$2:$A$26,MATCH($C211,'Shultis Faw'!$A$2:$A$26,1)))*(INDEX('Shultis Faw'!$B$2:$B$26,MATCH($C211,'Shultis Faw'!$A$2:$A$26,1)+1)-INDEX('Shultis Faw'!$B$2:$B$26,MATCH($C211,'Shultis Faw'!$A$2:$A$26,1)))/(INDEX('Shultis Faw'!$A$2:$A$26,MATCH($C211,'Shultis Faw'!$A$2:$A$26,1)+1)-INDEX('Shultis Faw'!$A$2:$A$26,MATCH($C211,'Shultis Faw'!$A$2:$A$26,1))),$C211*'Shultis Faw'!$B$2/'Shultis Faw'!$A$2)</f>
        <v>-8.8673136E-2</v>
      </c>
      <c r="L211" s="83">
        <f>_xlfn.IFNA(INDEX('Shultis Faw'!$E$2:$E$26,MATCH($C211,'Shultis Faw'!$A$2:$A$26,1))+($C211-INDEX('Shultis Faw'!$A$2:$A$26,MATCH($C211,'Shultis Faw'!$A$2:$A$26,1)))*(INDEX('Shultis Faw'!$E$2:$E$26,MATCH($C211,'Shultis Faw'!$A$2:$A$26,1)+1)-INDEX('Shultis Faw'!$E$2:$E$26,MATCH($C211,'Shultis Faw'!$A$2:$A$26,1)))/(INDEX('Shultis Faw'!$A$2:$A$26,MATCH($C211,'Shultis Faw'!$A$2:$A$26,1)+1)-INDEX('Shultis Faw'!$A$2:$A$26,MATCH($C211,'Shultis Faw'!$A$2:$A$26,1))),$C211*'Shultis Faw'!$E$2/'Shultis Faw'!$A$2)</f>
        <v>3.7660819200000001E-2</v>
      </c>
      <c r="M211" s="83">
        <f>_xlfn.IFNA(INDEX('Shultis Faw'!$F$2:$F$26,MATCH($C211,'Shultis Faw'!$A$2:$A$26,1))+($C211-INDEX('Shultis Faw'!$A$2:$A$26,MATCH($C211,'Shultis Faw'!$A$2:$A$26,1)))*(INDEX('Shultis Faw'!$F$2:$F$26,MATCH($C211,'Shultis Faw'!$A$2:$A$26,1)+1)-INDEX('Shultis Faw'!$F$2:$F$26,MATCH($C211,'Shultis Faw'!$A$2:$A$26,1)))/(INDEX('Shultis Faw'!$A$2:$A$26,MATCH($C211,'Shultis Faw'!$A$2:$A$26,1)+1)-INDEX('Shultis Faw'!$A$2:$A$26,MATCH($C211,'Shultis Faw'!$A$2:$A$26,1))),$C211*'Shultis Faw'!$F$2/'Shultis Faw'!$A$2)</f>
        <v>14.2231632</v>
      </c>
      <c r="N211" s="83">
        <f>J211*(H211*'Externe blootstelling'!$D$23/2)^K211+L211*(TANH(((H211*'Externe blootstelling'!$D$23)/(2*M211))-2)-TANH(-2))/(1-TANH(-2))</f>
        <v>1.4324471942842592</v>
      </c>
      <c r="O211" s="83">
        <f>IF(N211=1,1+(I211-1)*H211*'Externe blootstelling'!$D$23/2,1+(I211-1)*(N211^(H211*'Externe blootstelling'!$D$23/2)-1)/(N211-1))</f>
        <v>2.1744340834391256</v>
      </c>
      <c r="P211" s="67">
        <f>G211*EXP(-H211*'Externe blootstelling'!$D$23/2)*O211</f>
        <v>2.2687247776155627E-2</v>
      </c>
      <c r="Q211" s="68"/>
    </row>
    <row r="212" spans="1:17" x14ac:dyDescent="0.2">
      <c r="A212" s="217"/>
      <c r="B212" s="64" t="s">
        <v>104</v>
      </c>
      <c r="C212" s="66">
        <v>1.0840000000000001</v>
      </c>
      <c r="D212" s="66">
        <f t="shared" si="14"/>
        <v>1.7343999999999999E-13</v>
      </c>
      <c r="E212" s="66">
        <v>2.4399999999999999E-3</v>
      </c>
      <c r="F212" s="66">
        <f>_xlfn.IFNA(INDEX('hp (pSv cm2)'!$B$2:$B$52,MATCH($C212,'hp (pSv cm2)'!$A$2:$A$52,1))+($C212-INDEX('hp (pSv cm2)'!$A$2:$A$52,MATCH($C212,'hp (pSv cm2)'!$A$2:$A$52,1)))*(INDEX('hp (pSv cm2)'!$B$2:$B$52,MATCH($C212,'hp (pSv cm2)'!$A$2:$A$52,1)+1)-INDEX('hp (pSv cm2)'!$B$2:$B$52,MATCH($C212,'hp (pSv cm2)'!$A$2:$A$52,1)))/(INDEX('hp (pSv cm2)'!$A$2:$A$52,MATCH($C212,'hp (pSv cm2)'!$A$2:$A$52,1)+1)-INDEX('hp (pSv cm2)'!$A$2:$A$52,MATCH($C212,'hp (pSv cm2)'!$A$2:$A$52,1))),$C212*'hp (pSv cm2)'!$B$2/'hp (pSv cm2)'!$A$2)</f>
        <v>4.7638400000000001</v>
      </c>
      <c r="G212" s="67">
        <f t="shared" si="15"/>
        <v>1.16237696E-2</v>
      </c>
      <c r="H212" s="83">
        <f>_xlfn.IFNA(0.997*(INDEX('Mass attenuation coefficients'!$B$2:$B$37,MATCH($C212,'Mass attenuation coefficients'!$A$2:$A$37,1))+($C212-INDEX('Mass attenuation coefficients'!$A$2:$A$37,MATCH($C212,'Mass attenuation coefficients'!$A$2:$A$37,1)))*(INDEX('Mass attenuation coefficients'!$B$2:$B$37,MATCH($C212,'Mass attenuation coefficients'!$A$2:$A$37,1)+1)-INDEX('Mass attenuation coefficients'!$B$2:$B$37,MATCH($C212,'Mass attenuation coefficients'!$A$2:$A$37,1)))/(INDEX('Mass attenuation coefficients'!$A$2:$A$37,MATCH($C212,'Mass attenuation coefficients'!$A$2:$A$37,1)+1)-INDEX('Mass attenuation coefficients'!$A$2:$A$37,MATCH($C212,'Mass attenuation coefficients'!$A$2:$A$37,1)))),0.997*$C212*'Mass attenuation coefficients'!$B$2/'Mass attenuation coefficients'!$A$2)</f>
        <v>6.7998749920000004E-2</v>
      </c>
      <c r="I212" s="83">
        <f>_xlfn.IFNA(INDEX('Shultis Faw'!$C$2:$C$26,MATCH($C212,'Shultis Faw'!$A$2:$A$26,1))+($C212-INDEX('Shultis Faw'!$A$2:$A$26,MATCH($C212,'Shultis Faw'!$A$2:$A$26,1)))*(INDEX('Shultis Faw'!$C$2:$C$26,MATCH($C212,'Shultis Faw'!$A$2:$A$26,1)+1)-INDEX('Shultis Faw'!$C$2:$C$26,MATCH($C212,'Shultis Faw'!$A$2:$A$26,1)))/(INDEX('Shultis Faw'!$A$2:$A$26,MATCH($C212,'Shultis Faw'!$A$2:$A$26,1)+1)-INDEX('Shultis Faw'!$A$2:$A$26,MATCH($C212,'Shultis Faw'!$A$2:$A$26,1))),$C212*'Shultis Faw'!$C$2/'Shultis Faw'!$A$2)</f>
        <v>2.0754480000000002</v>
      </c>
      <c r="J212" s="83">
        <f>_xlfn.IFNA(INDEX('Shultis Faw'!$D$2:$D$26,MATCH($C212,'Shultis Faw'!$A$2:$A$26,1))+($C212-INDEX('Shultis Faw'!$A$2:$A$26,MATCH($C212,'Shultis Faw'!$A$2:$A$26,1)))*(INDEX('Shultis Faw'!$D$2:$D$26,MATCH($C212,'Shultis Faw'!$A$2:$A$26,1)+1)-INDEX('Shultis Faw'!$D$2:$D$26,MATCH($C212,'Shultis Faw'!$A$2:$A$26,1)))/(INDEX('Shultis Faw'!$A$2:$A$26,MATCH($C212,'Shultis Faw'!$A$2:$A$26,1)+1)-INDEX('Shultis Faw'!$A$2:$A$26,MATCH($C212,'Shultis Faw'!$A$2:$A$26,1))),$C212*'Shultis Faw'!$D$2/'Shultis Faw'!$A$2)</f>
        <v>1.412104</v>
      </c>
      <c r="K212" s="83">
        <f>_xlfn.IFNA(INDEX('Shultis Faw'!$B$2:$B$26,MATCH($C212,'Shultis Faw'!$A$2:$A$26,1))+($C212-INDEX('Shultis Faw'!$A$2:$A$26,MATCH($C212,'Shultis Faw'!$A$2:$A$26,1)))*(INDEX('Shultis Faw'!$B$2:$B$26,MATCH($C212,'Shultis Faw'!$A$2:$A$26,1)+1)-INDEX('Shultis Faw'!$B$2:$B$26,MATCH($C212,'Shultis Faw'!$A$2:$A$26,1)))/(INDEX('Shultis Faw'!$A$2:$A$26,MATCH($C212,'Shultis Faw'!$A$2:$A$26,1)+1)-INDEX('Shultis Faw'!$A$2:$A$26,MATCH($C212,'Shultis Faw'!$A$2:$A$26,1))),$C212*'Shultis Faw'!$B$2/'Shultis Faw'!$A$2)</f>
        <v>-8.3791999999999991E-2</v>
      </c>
      <c r="L212" s="83">
        <f>_xlfn.IFNA(INDEX('Shultis Faw'!$E$2:$E$26,MATCH($C212,'Shultis Faw'!$A$2:$A$26,1))+($C212-INDEX('Shultis Faw'!$A$2:$A$26,MATCH($C212,'Shultis Faw'!$A$2:$A$26,1)))*(INDEX('Shultis Faw'!$E$2:$E$26,MATCH($C212,'Shultis Faw'!$A$2:$A$26,1)+1)-INDEX('Shultis Faw'!$E$2:$E$26,MATCH($C212,'Shultis Faw'!$A$2:$A$26,1)))/(INDEX('Shultis Faw'!$A$2:$A$26,MATCH($C212,'Shultis Faw'!$A$2:$A$26,1)+1)-INDEX('Shultis Faw'!$A$2:$A$26,MATCH($C212,'Shultis Faw'!$A$2:$A$26,1))),$C212*'Shultis Faw'!$E$2/'Shultis Faw'!$A$2)</f>
        <v>3.55824E-2</v>
      </c>
      <c r="M212" s="83">
        <f>_xlfn.IFNA(INDEX('Shultis Faw'!$F$2:$F$26,MATCH($C212,'Shultis Faw'!$A$2:$A$26,1))+($C212-INDEX('Shultis Faw'!$A$2:$A$26,MATCH($C212,'Shultis Faw'!$A$2:$A$26,1)))*(INDEX('Shultis Faw'!$F$2:$F$26,MATCH($C212,'Shultis Faw'!$A$2:$A$26,1)+1)-INDEX('Shultis Faw'!$F$2:$F$26,MATCH($C212,'Shultis Faw'!$A$2:$A$26,1)))/(INDEX('Shultis Faw'!$A$2:$A$26,MATCH($C212,'Shultis Faw'!$A$2:$A$26,1)+1)-INDEX('Shultis Faw'!$A$2:$A$26,MATCH($C212,'Shultis Faw'!$A$2:$A$26,1))),$C212*'Shultis Faw'!$F$2/'Shultis Faw'!$A$2)</f>
        <v>14.2704</v>
      </c>
      <c r="N212" s="83">
        <f>J212*(H212*'Externe blootstelling'!$D$23/2)^K212+L212*(TANH(((H212*'Externe blootstelling'!$D$23)/(2*M212))-2)-TANH(-2))/(1-TANH(-2))</f>
        <v>1.4098630862355765</v>
      </c>
      <c r="O212" s="83">
        <f>IF(N212=1,1+(I212-1)*H212*'Externe blootstelling'!$D$23/2,1+(I212-1)*(N212^(H212*'Externe blootstelling'!$D$23/2)-1)/(N212-1))</f>
        <v>2.1009256157427285</v>
      </c>
      <c r="P212" s="67">
        <f>G212*EXP(-H212*'Externe blootstelling'!$D$23/2)*O212</f>
        <v>8.806137074368876E-3</v>
      </c>
      <c r="Q212" s="68"/>
    </row>
    <row r="213" spans="1:17" x14ac:dyDescent="0.2">
      <c r="A213" s="217"/>
      <c r="B213" s="64" t="s">
        <v>104</v>
      </c>
      <c r="C213" s="66">
        <v>1.0858369999999999</v>
      </c>
      <c r="D213" s="66">
        <f t="shared" si="14"/>
        <v>1.7373391999999998E-13</v>
      </c>
      <c r="E213" s="66">
        <v>0.1013</v>
      </c>
      <c r="F213" s="66">
        <f>_xlfn.IFNA(INDEX('hp (pSv cm2)'!$B$2:$B$52,MATCH($C213,'hp (pSv cm2)'!$A$2:$A$52,1))+($C213-INDEX('hp (pSv cm2)'!$A$2:$A$52,MATCH($C213,'hp (pSv cm2)'!$A$2:$A$52,1)))*(INDEX('hp (pSv cm2)'!$B$2:$B$52,MATCH($C213,'hp (pSv cm2)'!$A$2:$A$52,1)+1)-INDEX('hp (pSv cm2)'!$B$2:$B$52,MATCH($C213,'hp (pSv cm2)'!$A$2:$A$52,1)))/(INDEX('hp (pSv cm2)'!$A$2:$A$52,MATCH($C213,'hp (pSv cm2)'!$A$2:$A$52,1)+1)-INDEX('hp (pSv cm2)'!$A$2:$A$52,MATCH($C213,'hp (pSv cm2)'!$A$2:$A$52,1))),$C213*'hp (pSv cm2)'!$B$2/'hp (pSv cm2)'!$A$2)</f>
        <v>4.7698286200000002</v>
      </c>
      <c r="G213" s="67">
        <f t="shared" si="15"/>
        <v>0.48318363920600005</v>
      </c>
      <c r="H213" s="83">
        <f>_xlfn.IFNA(0.997*(INDEX('Mass attenuation coefficients'!$B$2:$B$37,MATCH($C213,'Mass attenuation coefficients'!$A$2:$A$37,1))+($C213-INDEX('Mass attenuation coefficients'!$A$2:$A$37,MATCH($C213,'Mass attenuation coefficients'!$A$2:$A$37,1)))*(INDEX('Mass attenuation coefficients'!$B$2:$B$37,MATCH($C213,'Mass attenuation coefficients'!$A$2:$A$37,1)+1)-INDEX('Mass attenuation coefficients'!$B$2:$B$37,MATCH($C213,'Mass attenuation coefficients'!$A$2:$A$37,1)))/(INDEX('Mass attenuation coefficients'!$A$2:$A$37,MATCH($C213,'Mass attenuation coefficients'!$A$2:$A$37,1)+1)-INDEX('Mass attenuation coefficients'!$A$2:$A$37,MATCH($C213,'Mass attenuation coefficients'!$A$2:$A$37,1)))),0.997*$C213*'Mass attenuation coefficients'!$B$2/'Mass attenuation coefficients'!$A$2)</f>
        <v>6.7943878509560005E-2</v>
      </c>
      <c r="I213" s="83">
        <f>_xlfn.IFNA(INDEX('Shultis Faw'!$C$2:$C$26,MATCH($C213,'Shultis Faw'!$A$2:$A$26,1))+($C213-INDEX('Shultis Faw'!$A$2:$A$26,MATCH($C213,'Shultis Faw'!$A$2:$A$26,1)))*(INDEX('Shultis Faw'!$C$2:$C$26,MATCH($C213,'Shultis Faw'!$A$2:$A$26,1)+1)-INDEX('Shultis Faw'!$C$2:$C$26,MATCH($C213,'Shultis Faw'!$A$2:$A$26,1)))/(INDEX('Shultis Faw'!$A$2:$A$26,MATCH($C213,'Shultis Faw'!$A$2:$A$26,1)+1)-INDEX('Shultis Faw'!$A$2:$A$26,MATCH($C213,'Shultis Faw'!$A$2:$A$26,1))),$C213*'Shultis Faw'!$C$2/'Shultis Faw'!$A$2)</f>
        <v>2.074845464</v>
      </c>
      <c r="J213" s="83">
        <f>_xlfn.IFNA(INDEX('Shultis Faw'!$D$2:$D$26,MATCH($C213,'Shultis Faw'!$A$2:$A$26,1))+($C213-INDEX('Shultis Faw'!$A$2:$A$26,MATCH($C213,'Shultis Faw'!$A$2:$A$26,1)))*(INDEX('Shultis Faw'!$D$2:$D$26,MATCH($C213,'Shultis Faw'!$A$2:$A$26,1)+1)-INDEX('Shultis Faw'!$D$2:$D$26,MATCH($C213,'Shultis Faw'!$A$2:$A$26,1)))/(INDEX('Shultis Faw'!$A$2:$A$26,MATCH($C213,'Shultis Faw'!$A$2:$A$26,1)+1)-INDEX('Shultis Faw'!$A$2:$A$26,MATCH($C213,'Shultis Faw'!$A$2:$A$26,1))),$C213*'Shultis Faw'!$D$2/'Shultis Faw'!$A$2)</f>
        <v>1.411472072</v>
      </c>
      <c r="K213" s="83">
        <f>_xlfn.IFNA(INDEX('Shultis Faw'!$B$2:$B$26,MATCH($C213,'Shultis Faw'!$A$2:$A$26,1))+($C213-INDEX('Shultis Faw'!$A$2:$A$26,MATCH($C213,'Shultis Faw'!$A$2:$A$26,1)))*(INDEX('Shultis Faw'!$B$2:$B$26,MATCH($C213,'Shultis Faw'!$A$2:$A$26,1)+1)-INDEX('Shultis Faw'!$B$2:$B$26,MATCH($C213,'Shultis Faw'!$A$2:$A$26,1)))/(INDEX('Shultis Faw'!$A$2:$A$26,MATCH($C213,'Shultis Faw'!$A$2:$A$26,1)+1)-INDEX('Shultis Faw'!$A$2:$A$26,MATCH($C213,'Shultis Faw'!$A$2:$A$26,1))),$C213*'Shultis Faw'!$B$2/'Shultis Faw'!$A$2)</f>
        <v>-8.3678106000000002E-2</v>
      </c>
      <c r="L213" s="83">
        <f>_xlfn.IFNA(INDEX('Shultis Faw'!$E$2:$E$26,MATCH($C213,'Shultis Faw'!$A$2:$A$26,1))+($C213-INDEX('Shultis Faw'!$A$2:$A$26,MATCH($C213,'Shultis Faw'!$A$2:$A$26,1)))*(INDEX('Shultis Faw'!$E$2:$E$26,MATCH($C213,'Shultis Faw'!$A$2:$A$26,1)+1)-INDEX('Shultis Faw'!$E$2:$E$26,MATCH($C213,'Shultis Faw'!$A$2:$A$26,1)))/(INDEX('Shultis Faw'!$A$2:$A$26,MATCH($C213,'Shultis Faw'!$A$2:$A$26,1)+1)-INDEX('Shultis Faw'!$A$2:$A$26,MATCH($C213,'Shultis Faw'!$A$2:$A$26,1))),$C213*'Shultis Faw'!$E$2/'Shultis Faw'!$A$2)</f>
        <v>3.5533903200000001E-2</v>
      </c>
      <c r="M213" s="83">
        <f>_xlfn.IFNA(INDEX('Shultis Faw'!$F$2:$F$26,MATCH($C213,'Shultis Faw'!$A$2:$A$26,1))+($C213-INDEX('Shultis Faw'!$A$2:$A$26,MATCH($C213,'Shultis Faw'!$A$2:$A$26,1)))*(INDEX('Shultis Faw'!$F$2:$F$26,MATCH($C213,'Shultis Faw'!$A$2:$A$26,1)+1)-INDEX('Shultis Faw'!$F$2:$F$26,MATCH($C213,'Shultis Faw'!$A$2:$A$26,1)))/(INDEX('Shultis Faw'!$A$2:$A$26,MATCH($C213,'Shultis Faw'!$A$2:$A$26,1)+1)-INDEX('Shultis Faw'!$A$2:$A$26,MATCH($C213,'Shultis Faw'!$A$2:$A$26,1))),$C213*'Shultis Faw'!$F$2/'Shultis Faw'!$A$2)</f>
        <v>14.2715022</v>
      </c>
      <c r="N213" s="83">
        <f>J213*(H213*'Externe blootstelling'!$D$23/2)^K213+L213*(TANH(((H213*'Externe blootstelling'!$D$23)/(2*M213))-2)-TANH(-2))/(1-TANH(-2))</f>
        <v>1.4093303457908599</v>
      </c>
      <c r="O213" s="83">
        <f>IF(N213=1,1+(I213-1)*H213*'Externe blootstelling'!$D$23/2,1+(I213-1)*(N213^(H213*'Externe blootstelling'!$D$23/2)-1)/(N213-1))</f>
        <v>2.0992520226220246</v>
      </c>
      <c r="P213" s="67">
        <f>G213*EXP(-H213*'Externe blootstelling'!$D$23/2)*O213</f>
        <v>0.36606822045703419</v>
      </c>
      <c r="Q213" s="68"/>
    </row>
    <row r="214" spans="1:17" x14ac:dyDescent="0.2">
      <c r="A214" s="217"/>
      <c r="B214" s="64" t="s">
        <v>104</v>
      </c>
      <c r="C214" s="66">
        <v>1.0897370000000002</v>
      </c>
      <c r="D214" s="66">
        <f t="shared" si="14"/>
        <v>1.7435792000000002E-13</v>
      </c>
      <c r="E214" s="66">
        <v>1.7299999999999999E-2</v>
      </c>
      <c r="F214" s="66">
        <f>_xlfn.IFNA(INDEX('hp (pSv cm2)'!$B$2:$B$52,MATCH($C214,'hp (pSv cm2)'!$A$2:$A$52,1))+($C214-INDEX('hp (pSv cm2)'!$A$2:$A$52,MATCH($C214,'hp (pSv cm2)'!$A$2:$A$52,1)))*(INDEX('hp (pSv cm2)'!$B$2:$B$52,MATCH($C214,'hp (pSv cm2)'!$A$2:$A$52,1)+1)-INDEX('hp (pSv cm2)'!$B$2:$B$52,MATCH($C214,'hp (pSv cm2)'!$A$2:$A$52,1)))/(INDEX('hp (pSv cm2)'!$A$2:$A$52,MATCH($C214,'hp (pSv cm2)'!$A$2:$A$52,1)+1)-INDEX('hp (pSv cm2)'!$A$2:$A$52,MATCH($C214,'hp (pSv cm2)'!$A$2:$A$52,1))),$C214*'hp (pSv cm2)'!$B$2/'hp (pSv cm2)'!$A$2)</f>
        <v>4.782542620000001</v>
      </c>
      <c r="G214" s="67">
        <f t="shared" si="15"/>
        <v>8.2737987326000018E-2</v>
      </c>
      <c r="H214" s="83">
        <f>_xlfn.IFNA(0.997*(INDEX('Mass attenuation coefficients'!$B$2:$B$37,MATCH($C214,'Mass attenuation coefficients'!$A$2:$A$37,1))+($C214-INDEX('Mass attenuation coefficients'!$A$2:$A$37,MATCH($C214,'Mass attenuation coefficients'!$A$2:$A$37,1)))*(INDEX('Mass attenuation coefficients'!$B$2:$B$37,MATCH($C214,'Mass attenuation coefficients'!$A$2:$A$37,1)+1)-INDEX('Mass attenuation coefficients'!$B$2:$B$37,MATCH($C214,'Mass attenuation coefficients'!$A$2:$A$37,1)))/(INDEX('Mass attenuation coefficients'!$A$2:$A$37,MATCH($C214,'Mass attenuation coefficients'!$A$2:$A$37,1)+1)-INDEX('Mass attenuation coefficients'!$A$2:$A$37,MATCH($C214,'Mass attenuation coefficients'!$A$2:$A$37,1)))),0.997*$C214*'Mass attenuation coefficients'!$B$2/'Mass attenuation coefficients'!$A$2)</f>
        <v>6.7827385041559995E-2</v>
      </c>
      <c r="I214" s="83">
        <f>_xlfn.IFNA(INDEX('Shultis Faw'!$C$2:$C$26,MATCH($C214,'Shultis Faw'!$A$2:$A$26,1))+($C214-INDEX('Shultis Faw'!$A$2:$A$26,MATCH($C214,'Shultis Faw'!$A$2:$A$26,1)))*(INDEX('Shultis Faw'!$C$2:$C$26,MATCH($C214,'Shultis Faw'!$A$2:$A$26,1)+1)-INDEX('Shultis Faw'!$C$2:$C$26,MATCH($C214,'Shultis Faw'!$A$2:$A$26,1)))/(INDEX('Shultis Faw'!$A$2:$A$26,MATCH($C214,'Shultis Faw'!$A$2:$A$26,1)+1)-INDEX('Shultis Faw'!$A$2:$A$26,MATCH($C214,'Shultis Faw'!$A$2:$A$26,1))),$C214*'Shultis Faw'!$C$2/'Shultis Faw'!$A$2)</f>
        <v>2.0735662640000001</v>
      </c>
      <c r="J214" s="83">
        <f>_xlfn.IFNA(INDEX('Shultis Faw'!$D$2:$D$26,MATCH($C214,'Shultis Faw'!$A$2:$A$26,1))+($C214-INDEX('Shultis Faw'!$A$2:$A$26,MATCH($C214,'Shultis Faw'!$A$2:$A$26,1)))*(INDEX('Shultis Faw'!$D$2:$D$26,MATCH($C214,'Shultis Faw'!$A$2:$A$26,1)+1)-INDEX('Shultis Faw'!$D$2:$D$26,MATCH($C214,'Shultis Faw'!$A$2:$A$26,1)))/(INDEX('Shultis Faw'!$A$2:$A$26,MATCH($C214,'Shultis Faw'!$A$2:$A$26,1)+1)-INDEX('Shultis Faw'!$A$2:$A$26,MATCH($C214,'Shultis Faw'!$A$2:$A$26,1))),$C214*'Shultis Faw'!$D$2/'Shultis Faw'!$A$2)</f>
        <v>1.4101304720000001</v>
      </c>
      <c r="K214" s="83">
        <f>_xlfn.IFNA(INDEX('Shultis Faw'!$B$2:$B$26,MATCH($C214,'Shultis Faw'!$A$2:$A$26,1))+($C214-INDEX('Shultis Faw'!$A$2:$A$26,MATCH($C214,'Shultis Faw'!$A$2:$A$26,1)))*(INDEX('Shultis Faw'!$B$2:$B$26,MATCH($C214,'Shultis Faw'!$A$2:$A$26,1)+1)-INDEX('Shultis Faw'!$B$2:$B$26,MATCH($C214,'Shultis Faw'!$A$2:$A$26,1)))/(INDEX('Shultis Faw'!$A$2:$A$26,MATCH($C214,'Shultis Faw'!$A$2:$A$26,1)+1)-INDEX('Shultis Faw'!$A$2:$A$26,MATCH($C214,'Shultis Faw'!$A$2:$A$26,1))),$C214*'Shultis Faw'!$B$2/'Shultis Faw'!$A$2)</f>
        <v>-8.3436305999999988E-2</v>
      </c>
      <c r="L214" s="83">
        <f>_xlfn.IFNA(INDEX('Shultis Faw'!$E$2:$E$26,MATCH($C214,'Shultis Faw'!$A$2:$A$26,1))+($C214-INDEX('Shultis Faw'!$A$2:$A$26,MATCH($C214,'Shultis Faw'!$A$2:$A$26,1)))*(INDEX('Shultis Faw'!$E$2:$E$26,MATCH($C214,'Shultis Faw'!$A$2:$A$26,1)+1)-INDEX('Shultis Faw'!$E$2:$E$26,MATCH($C214,'Shultis Faw'!$A$2:$A$26,1)))/(INDEX('Shultis Faw'!$A$2:$A$26,MATCH($C214,'Shultis Faw'!$A$2:$A$26,1)+1)-INDEX('Shultis Faw'!$A$2:$A$26,MATCH($C214,'Shultis Faw'!$A$2:$A$26,1))),$C214*'Shultis Faw'!$E$2/'Shultis Faw'!$A$2)</f>
        <v>3.5430943199999995E-2</v>
      </c>
      <c r="M214" s="83">
        <f>_xlfn.IFNA(INDEX('Shultis Faw'!$F$2:$F$26,MATCH($C214,'Shultis Faw'!$A$2:$A$26,1))+($C214-INDEX('Shultis Faw'!$A$2:$A$26,MATCH($C214,'Shultis Faw'!$A$2:$A$26,1)))*(INDEX('Shultis Faw'!$F$2:$F$26,MATCH($C214,'Shultis Faw'!$A$2:$A$26,1)+1)-INDEX('Shultis Faw'!$F$2:$F$26,MATCH($C214,'Shultis Faw'!$A$2:$A$26,1)))/(INDEX('Shultis Faw'!$A$2:$A$26,MATCH($C214,'Shultis Faw'!$A$2:$A$26,1)+1)-INDEX('Shultis Faw'!$A$2:$A$26,MATCH($C214,'Shultis Faw'!$A$2:$A$26,1))),$C214*'Shultis Faw'!$F$2/'Shultis Faw'!$A$2)</f>
        <v>14.273842200000001</v>
      </c>
      <c r="N214" s="83">
        <f>J214*(H214*'Externe blootstelling'!$D$23/2)^K214+L214*(TANH(((H214*'Externe blootstelling'!$D$23)/(2*M214))-2)-TANH(-2))/(1-TANH(-2))</f>
        <v>1.4081984510750596</v>
      </c>
      <c r="O214" s="83">
        <f>IF(N214=1,1+(I214-1)*H214*'Externe blootstelling'!$D$23/2,1+(I214-1)*(N214^(H214*'Externe blootstelling'!$D$23/2)-1)/(N214-1))</f>
        <v>2.095705131642585</v>
      </c>
      <c r="P214" s="67">
        <f>G214*EXP(-H214*'Externe blootstelling'!$D$23/2)*O214</f>
        <v>6.2687253588573522E-2</v>
      </c>
      <c r="Q214" s="68"/>
    </row>
    <row r="215" spans="1:17" x14ac:dyDescent="0.2">
      <c r="A215" s="217"/>
      <c r="B215" s="64" t="s">
        <v>104</v>
      </c>
      <c r="C215" s="66">
        <v>1.1091739999999999</v>
      </c>
      <c r="D215" s="66">
        <f t="shared" si="14"/>
        <v>1.7746783999999996E-13</v>
      </c>
      <c r="E215" s="66">
        <v>1.8599999999999999E-3</v>
      </c>
      <c r="F215" s="66">
        <f>_xlfn.IFNA(INDEX('hp (pSv cm2)'!$B$2:$B$52,MATCH($C215,'hp (pSv cm2)'!$A$2:$A$52,1))+($C215-INDEX('hp (pSv cm2)'!$A$2:$A$52,MATCH($C215,'hp (pSv cm2)'!$A$2:$A$52,1)))*(INDEX('hp (pSv cm2)'!$B$2:$B$52,MATCH($C215,'hp (pSv cm2)'!$A$2:$A$52,1)+1)-INDEX('hp (pSv cm2)'!$B$2:$B$52,MATCH($C215,'hp (pSv cm2)'!$A$2:$A$52,1)))/(INDEX('hp (pSv cm2)'!$A$2:$A$52,MATCH($C215,'hp (pSv cm2)'!$A$2:$A$52,1)+1)-INDEX('hp (pSv cm2)'!$A$2:$A$52,MATCH($C215,'hp (pSv cm2)'!$A$2:$A$52,1))),$C215*'hp (pSv cm2)'!$B$2/'hp (pSv cm2)'!$A$2)</f>
        <v>4.8459072399999998</v>
      </c>
      <c r="G215" s="67">
        <f t="shared" si="15"/>
        <v>9.0133874663999997E-3</v>
      </c>
      <c r="H215" s="83">
        <f>_xlfn.IFNA(0.997*(INDEX('Mass attenuation coefficients'!$B$2:$B$37,MATCH($C215,'Mass attenuation coefficients'!$A$2:$A$37,1))+($C215-INDEX('Mass attenuation coefficients'!$A$2:$A$37,MATCH($C215,'Mass attenuation coefficients'!$A$2:$A$37,1)))*(INDEX('Mass attenuation coefficients'!$B$2:$B$37,MATCH($C215,'Mass attenuation coefficients'!$A$2:$A$37,1)+1)-INDEX('Mass attenuation coefficients'!$B$2:$B$37,MATCH($C215,'Mass attenuation coefficients'!$A$2:$A$37,1)))/(INDEX('Mass attenuation coefficients'!$A$2:$A$37,MATCH($C215,'Mass attenuation coefficients'!$A$2:$A$37,1)+1)-INDEX('Mass attenuation coefficients'!$A$2:$A$37,MATCH($C215,'Mass attenuation coefficients'!$A$2:$A$37,1)))),0.997*$C215*'Mass attenuation coefficients'!$B$2/'Mass attenuation coefficients'!$A$2)</f>
        <v>6.7246799519119993E-2</v>
      </c>
      <c r="I215" s="83">
        <f>_xlfn.IFNA(INDEX('Shultis Faw'!$C$2:$C$26,MATCH($C215,'Shultis Faw'!$A$2:$A$26,1))+($C215-INDEX('Shultis Faw'!$A$2:$A$26,MATCH($C215,'Shultis Faw'!$A$2:$A$26,1)))*(INDEX('Shultis Faw'!$C$2:$C$26,MATCH($C215,'Shultis Faw'!$A$2:$A$26,1)+1)-INDEX('Shultis Faw'!$C$2:$C$26,MATCH($C215,'Shultis Faw'!$A$2:$A$26,1)))/(INDEX('Shultis Faw'!$A$2:$A$26,MATCH($C215,'Shultis Faw'!$A$2:$A$26,1)+1)-INDEX('Shultis Faw'!$A$2:$A$26,MATCH($C215,'Shultis Faw'!$A$2:$A$26,1))),$C215*'Shultis Faw'!$C$2/'Shultis Faw'!$A$2)</f>
        <v>2.067190928</v>
      </c>
      <c r="J215" s="83">
        <f>_xlfn.IFNA(INDEX('Shultis Faw'!$D$2:$D$26,MATCH($C215,'Shultis Faw'!$A$2:$A$26,1))+($C215-INDEX('Shultis Faw'!$A$2:$A$26,MATCH($C215,'Shultis Faw'!$A$2:$A$26,1)))*(INDEX('Shultis Faw'!$D$2:$D$26,MATCH($C215,'Shultis Faw'!$A$2:$A$26,1)+1)-INDEX('Shultis Faw'!$D$2:$D$26,MATCH($C215,'Shultis Faw'!$A$2:$A$26,1)))/(INDEX('Shultis Faw'!$A$2:$A$26,MATCH($C215,'Shultis Faw'!$A$2:$A$26,1)+1)-INDEX('Shultis Faw'!$A$2:$A$26,MATCH($C215,'Shultis Faw'!$A$2:$A$26,1))),$C215*'Shultis Faw'!$D$2/'Shultis Faw'!$A$2)</f>
        <v>1.4034441440000001</v>
      </c>
      <c r="K215" s="83">
        <f>_xlfn.IFNA(INDEX('Shultis Faw'!$B$2:$B$26,MATCH($C215,'Shultis Faw'!$A$2:$A$26,1))+($C215-INDEX('Shultis Faw'!$A$2:$A$26,MATCH($C215,'Shultis Faw'!$A$2:$A$26,1)))*(INDEX('Shultis Faw'!$B$2:$B$26,MATCH($C215,'Shultis Faw'!$A$2:$A$26,1)+1)-INDEX('Shultis Faw'!$B$2:$B$26,MATCH($C215,'Shultis Faw'!$A$2:$A$26,1)))/(INDEX('Shultis Faw'!$A$2:$A$26,MATCH($C215,'Shultis Faw'!$A$2:$A$26,1)+1)-INDEX('Shultis Faw'!$A$2:$A$26,MATCH($C215,'Shultis Faw'!$A$2:$A$26,1))),$C215*'Shultis Faw'!$B$2/'Shultis Faw'!$A$2)</f>
        <v>-8.2231211999999998E-2</v>
      </c>
      <c r="L215" s="83">
        <f>_xlfn.IFNA(INDEX('Shultis Faw'!$E$2:$E$26,MATCH($C215,'Shultis Faw'!$A$2:$A$26,1))+($C215-INDEX('Shultis Faw'!$A$2:$A$26,MATCH($C215,'Shultis Faw'!$A$2:$A$26,1)))*(INDEX('Shultis Faw'!$E$2:$E$26,MATCH($C215,'Shultis Faw'!$A$2:$A$26,1)+1)-INDEX('Shultis Faw'!$E$2:$E$26,MATCH($C215,'Shultis Faw'!$A$2:$A$26,1)))/(INDEX('Shultis Faw'!$A$2:$A$26,MATCH($C215,'Shultis Faw'!$A$2:$A$26,1)+1)-INDEX('Shultis Faw'!$A$2:$A$26,MATCH($C215,'Shultis Faw'!$A$2:$A$26,1))),$C215*'Shultis Faw'!$E$2/'Shultis Faw'!$A$2)</f>
        <v>3.4917806400000001E-2</v>
      </c>
      <c r="M215" s="83">
        <f>_xlfn.IFNA(INDEX('Shultis Faw'!$F$2:$F$26,MATCH($C215,'Shultis Faw'!$A$2:$A$26,1))+($C215-INDEX('Shultis Faw'!$A$2:$A$26,MATCH($C215,'Shultis Faw'!$A$2:$A$26,1)))*(INDEX('Shultis Faw'!$F$2:$F$26,MATCH($C215,'Shultis Faw'!$A$2:$A$26,1)+1)-INDEX('Shultis Faw'!$F$2:$F$26,MATCH($C215,'Shultis Faw'!$A$2:$A$26,1)))/(INDEX('Shultis Faw'!$A$2:$A$26,MATCH($C215,'Shultis Faw'!$A$2:$A$26,1)+1)-INDEX('Shultis Faw'!$A$2:$A$26,MATCH($C215,'Shultis Faw'!$A$2:$A$26,1))),$C215*'Shultis Faw'!$F$2/'Shultis Faw'!$A$2)</f>
        <v>14.285504400000001</v>
      </c>
      <c r="N215" s="83">
        <f>J215*(H215*'Externe blootstelling'!$D$23/2)^K215+L215*(TANH(((H215*'Externe blootstelling'!$D$23)/(2*M215))-2)-TANH(-2))/(1-TANH(-2))</f>
        <v>1.4025395751703753</v>
      </c>
      <c r="O215" s="83">
        <f>IF(N215=1,1+(I215-1)*H215*'Externe blootstelling'!$D$23/2,1+(I215-1)*(N215^(H215*'Externe blootstelling'!$D$23/2)-1)/(N215-1))</f>
        <v>2.0781529069670723</v>
      </c>
      <c r="P215" s="67">
        <f>G215*EXP(-H215*'Externe blootstelling'!$D$23/2)*O215</f>
        <v>6.8311186796012587E-3</v>
      </c>
      <c r="Q215" s="68"/>
    </row>
    <row r="216" spans="1:17" x14ac:dyDescent="0.2">
      <c r="A216" s="217"/>
      <c r="B216" s="64" t="s">
        <v>104</v>
      </c>
      <c r="C216" s="66">
        <v>1.1120760000000001</v>
      </c>
      <c r="D216" s="66">
        <f t="shared" si="14"/>
        <v>1.7793215999999999E-13</v>
      </c>
      <c r="E216" s="66">
        <v>0.1341</v>
      </c>
      <c r="F216" s="66">
        <f>_xlfn.IFNA(INDEX('hp (pSv cm2)'!$B$2:$B$52,MATCH($C216,'hp (pSv cm2)'!$A$2:$A$52,1))+($C216-INDEX('hp (pSv cm2)'!$A$2:$A$52,MATCH($C216,'hp (pSv cm2)'!$A$2:$A$52,1)))*(INDEX('hp (pSv cm2)'!$B$2:$B$52,MATCH($C216,'hp (pSv cm2)'!$A$2:$A$52,1)+1)-INDEX('hp (pSv cm2)'!$B$2:$B$52,MATCH($C216,'hp (pSv cm2)'!$A$2:$A$52,1)))/(INDEX('hp (pSv cm2)'!$A$2:$A$52,MATCH($C216,'hp (pSv cm2)'!$A$2:$A$52,1)+1)-INDEX('hp (pSv cm2)'!$A$2:$A$52,MATCH($C216,'hp (pSv cm2)'!$A$2:$A$52,1))),$C216*'hp (pSv cm2)'!$B$2/'hp (pSv cm2)'!$A$2)</f>
        <v>4.85536776</v>
      </c>
      <c r="G216" s="67">
        <f t="shared" si="15"/>
        <v>0.65110481661599995</v>
      </c>
      <c r="H216" s="83">
        <f>_xlfn.IFNA(0.997*(INDEX('Mass attenuation coefficients'!$B$2:$B$37,MATCH($C216,'Mass attenuation coefficients'!$A$2:$A$37,1))+($C216-INDEX('Mass attenuation coefficients'!$A$2:$A$37,MATCH($C216,'Mass attenuation coefficients'!$A$2:$A$37,1)))*(INDEX('Mass attenuation coefficients'!$B$2:$B$37,MATCH($C216,'Mass attenuation coefficients'!$A$2:$A$37,1)+1)-INDEX('Mass attenuation coefficients'!$B$2:$B$37,MATCH($C216,'Mass attenuation coefficients'!$A$2:$A$37,1)))/(INDEX('Mass attenuation coefficients'!$A$2:$A$37,MATCH($C216,'Mass attenuation coefficients'!$A$2:$A$37,1)+1)-INDEX('Mass attenuation coefficients'!$A$2:$A$37,MATCH($C216,'Mass attenuation coefficients'!$A$2:$A$37,1)))),0.997*$C216*'Mass attenuation coefficients'!$B$2/'Mass attenuation coefficients'!$A$2)</f>
        <v>6.7160116430880004E-2</v>
      </c>
      <c r="I216" s="83">
        <f>_xlfn.IFNA(INDEX('Shultis Faw'!$C$2:$C$26,MATCH($C216,'Shultis Faw'!$A$2:$A$26,1))+($C216-INDEX('Shultis Faw'!$A$2:$A$26,MATCH($C216,'Shultis Faw'!$A$2:$A$26,1)))*(INDEX('Shultis Faw'!$C$2:$C$26,MATCH($C216,'Shultis Faw'!$A$2:$A$26,1)+1)-INDEX('Shultis Faw'!$C$2:$C$26,MATCH($C216,'Shultis Faw'!$A$2:$A$26,1)))/(INDEX('Shultis Faw'!$A$2:$A$26,MATCH($C216,'Shultis Faw'!$A$2:$A$26,1)+1)-INDEX('Shultis Faw'!$A$2:$A$26,MATCH($C216,'Shultis Faw'!$A$2:$A$26,1))),$C216*'Shultis Faw'!$C$2/'Shultis Faw'!$A$2)</f>
        <v>2.0662390720000001</v>
      </c>
      <c r="J216" s="83">
        <f>_xlfn.IFNA(INDEX('Shultis Faw'!$D$2:$D$26,MATCH($C216,'Shultis Faw'!$A$2:$A$26,1))+($C216-INDEX('Shultis Faw'!$A$2:$A$26,MATCH($C216,'Shultis Faw'!$A$2:$A$26,1)))*(INDEX('Shultis Faw'!$D$2:$D$26,MATCH($C216,'Shultis Faw'!$A$2:$A$26,1)+1)-INDEX('Shultis Faw'!$D$2:$D$26,MATCH($C216,'Shultis Faw'!$A$2:$A$26,1)))/(INDEX('Shultis Faw'!$A$2:$A$26,MATCH($C216,'Shultis Faw'!$A$2:$A$26,1)+1)-INDEX('Shultis Faw'!$A$2:$A$26,MATCH($C216,'Shultis Faw'!$A$2:$A$26,1))),$C216*'Shultis Faw'!$D$2/'Shultis Faw'!$A$2)</f>
        <v>1.4024458559999999</v>
      </c>
      <c r="K216" s="83">
        <f>_xlfn.IFNA(INDEX('Shultis Faw'!$B$2:$B$26,MATCH($C216,'Shultis Faw'!$A$2:$A$26,1))+($C216-INDEX('Shultis Faw'!$A$2:$A$26,MATCH($C216,'Shultis Faw'!$A$2:$A$26,1)))*(INDEX('Shultis Faw'!$B$2:$B$26,MATCH($C216,'Shultis Faw'!$A$2:$A$26,1)+1)-INDEX('Shultis Faw'!$B$2:$B$26,MATCH($C216,'Shultis Faw'!$A$2:$A$26,1)))/(INDEX('Shultis Faw'!$A$2:$A$26,MATCH($C216,'Shultis Faw'!$A$2:$A$26,1)+1)-INDEX('Shultis Faw'!$A$2:$A$26,MATCH($C216,'Shultis Faw'!$A$2:$A$26,1))),$C216*'Shultis Faw'!$B$2/'Shultis Faw'!$A$2)</f>
        <v>-8.2051288E-2</v>
      </c>
      <c r="L216" s="83">
        <f>_xlfn.IFNA(INDEX('Shultis Faw'!$E$2:$E$26,MATCH($C216,'Shultis Faw'!$A$2:$A$26,1))+($C216-INDEX('Shultis Faw'!$A$2:$A$26,MATCH($C216,'Shultis Faw'!$A$2:$A$26,1)))*(INDEX('Shultis Faw'!$E$2:$E$26,MATCH($C216,'Shultis Faw'!$A$2:$A$26,1)+1)-INDEX('Shultis Faw'!$E$2:$E$26,MATCH($C216,'Shultis Faw'!$A$2:$A$26,1)))/(INDEX('Shultis Faw'!$A$2:$A$26,MATCH($C216,'Shultis Faw'!$A$2:$A$26,1)+1)-INDEX('Shultis Faw'!$A$2:$A$26,MATCH($C216,'Shultis Faw'!$A$2:$A$26,1))),$C216*'Shultis Faw'!$E$2/'Shultis Faw'!$A$2)</f>
        <v>3.4841193600000001E-2</v>
      </c>
      <c r="M216" s="83">
        <f>_xlfn.IFNA(INDEX('Shultis Faw'!$F$2:$F$26,MATCH($C216,'Shultis Faw'!$A$2:$A$26,1))+($C216-INDEX('Shultis Faw'!$A$2:$A$26,MATCH($C216,'Shultis Faw'!$A$2:$A$26,1)))*(INDEX('Shultis Faw'!$F$2:$F$26,MATCH($C216,'Shultis Faw'!$A$2:$A$26,1)+1)-INDEX('Shultis Faw'!$F$2:$F$26,MATCH($C216,'Shultis Faw'!$A$2:$A$26,1)))/(INDEX('Shultis Faw'!$A$2:$A$26,MATCH($C216,'Shultis Faw'!$A$2:$A$26,1)+1)-INDEX('Shultis Faw'!$A$2:$A$26,MATCH($C216,'Shultis Faw'!$A$2:$A$26,1))),$C216*'Shultis Faw'!$F$2/'Shultis Faw'!$A$2)</f>
        <v>14.2872456</v>
      </c>
      <c r="N216" s="83">
        <f>J216*(H216*'Externe blootstelling'!$D$23/2)^K216+L216*(TANH(((H216*'Externe blootstelling'!$D$23)/(2*M216))-2)-TANH(-2))/(1-TANH(-2))</f>
        <v>1.401692161348792</v>
      </c>
      <c r="O216" s="83">
        <f>IF(N216=1,1+(I216-1)*H216*'Externe blootstelling'!$D$23/2,1+(I216-1)*(N216^(H216*'Externe blootstelling'!$D$23/2)-1)/(N216-1))</f>
        <v>2.0755500763470947</v>
      </c>
      <c r="P216" s="67">
        <f>G216*EXP(-H216*'Externe blootstelling'!$D$23/2)*O216</f>
        <v>0.49348630463896387</v>
      </c>
      <c r="Q216" s="68"/>
    </row>
    <row r="217" spans="1:17" x14ac:dyDescent="0.2">
      <c r="A217" s="217"/>
      <c r="B217" s="64" t="s">
        <v>104</v>
      </c>
      <c r="C217" s="66">
        <v>1.139</v>
      </c>
      <c r="D217" s="66">
        <f t="shared" si="14"/>
        <v>1.8223999999999999E-13</v>
      </c>
      <c r="E217" s="66">
        <v>1.2999999999999999E-5</v>
      </c>
      <c r="F217" s="66">
        <f>_xlfn.IFNA(INDEX('hp (pSv cm2)'!$B$2:$B$52,MATCH($C217,'hp (pSv cm2)'!$A$2:$A$52,1))+($C217-INDEX('hp (pSv cm2)'!$A$2:$A$52,MATCH($C217,'hp (pSv cm2)'!$A$2:$A$52,1)))*(INDEX('hp (pSv cm2)'!$B$2:$B$52,MATCH($C217,'hp (pSv cm2)'!$A$2:$A$52,1)+1)-INDEX('hp (pSv cm2)'!$B$2:$B$52,MATCH($C217,'hp (pSv cm2)'!$A$2:$A$52,1)))/(INDEX('hp (pSv cm2)'!$A$2:$A$52,MATCH($C217,'hp (pSv cm2)'!$A$2:$A$52,1)+1)-INDEX('hp (pSv cm2)'!$A$2:$A$52,MATCH($C217,'hp (pSv cm2)'!$A$2:$A$52,1))),$C217*'hp (pSv cm2)'!$B$2/'hp (pSv cm2)'!$A$2)</f>
        <v>4.9431400000000005</v>
      </c>
      <c r="G217" s="67">
        <f t="shared" si="15"/>
        <v>6.4260820000000001E-5</v>
      </c>
      <c r="H217" s="83">
        <f>_xlfn.IFNA(0.997*(INDEX('Mass attenuation coefficients'!$B$2:$B$37,MATCH($C217,'Mass attenuation coefficients'!$A$2:$A$37,1))+($C217-INDEX('Mass attenuation coefficients'!$A$2:$A$37,MATCH($C217,'Mass attenuation coefficients'!$A$2:$A$37,1)))*(INDEX('Mass attenuation coefficients'!$B$2:$B$37,MATCH($C217,'Mass attenuation coefficients'!$A$2:$A$37,1)+1)-INDEX('Mass attenuation coefficients'!$B$2:$B$37,MATCH($C217,'Mass attenuation coefficients'!$A$2:$A$37,1)))/(INDEX('Mass attenuation coefficients'!$A$2:$A$37,MATCH($C217,'Mass attenuation coefficients'!$A$2:$A$37,1)+1)-INDEX('Mass attenuation coefficients'!$A$2:$A$37,MATCH($C217,'Mass attenuation coefficients'!$A$2:$A$37,1)))),0.997*$C217*'Mass attenuation coefficients'!$B$2/'Mass attenuation coefficients'!$A$2)</f>
        <v>6.6355893319999998E-2</v>
      </c>
      <c r="I217" s="83">
        <f>_xlfn.IFNA(INDEX('Shultis Faw'!$C$2:$C$26,MATCH($C217,'Shultis Faw'!$A$2:$A$26,1))+($C217-INDEX('Shultis Faw'!$A$2:$A$26,MATCH($C217,'Shultis Faw'!$A$2:$A$26,1)))*(INDEX('Shultis Faw'!$C$2:$C$26,MATCH($C217,'Shultis Faw'!$A$2:$A$26,1)+1)-INDEX('Shultis Faw'!$C$2:$C$26,MATCH($C217,'Shultis Faw'!$A$2:$A$26,1)))/(INDEX('Shultis Faw'!$A$2:$A$26,MATCH($C217,'Shultis Faw'!$A$2:$A$26,1)+1)-INDEX('Shultis Faw'!$A$2:$A$26,MATCH($C217,'Shultis Faw'!$A$2:$A$26,1))),$C217*'Shultis Faw'!$C$2/'Shultis Faw'!$A$2)</f>
        <v>2.0574080000000001</v>
      </c>
      <c r="J217" s="83">
        <f>_xlfn.IFNA(INDEX('Shultis Faw'!$D$2:$D$26,MATCH($C217,'Shultis Faw'!$A$2:$A$26,1))+($C217-INDEX('Shultis Faw'!$A$2:$A$26,MATCH($C217,'Shultis Faw'!$A$2:$A$26,1)))*(INDEX('Shultis Faw'!$D$2:$D$26,MATCH($C217,'Shultis Faw'!$A$2:$A$26,1)+1)-INDEX('Shultis Faw'!$D$2:$D$26,MATCH($C217,'Shultis Faw'!$A$2:$A$26,1)))/(INDEX('Shultis Faw'!$A$2:$A$26,MATCH($C217,'Shultis Faw'!$A$2:$A$26,1)+1)-INDEX('Shultis Faw'!$A$2:$A$26,MATCH($C217,'Shultis Faw'!$A$2:$A$26,1))),$C217*'Shultis Faw'!$D$2/'Shultis Faw'!$A$2)</f>
        <v>1.393184</v>
      </c>
      <c r="K217" s="83">
        <f>_xlfn.IFNA(INDEX('Shultis Faw'!$B$2:$B$26,MATCH($C217,'Shultis Faw'!$A$2:$A$26,1))+($C217-INDEX('Shultis Faw'!$A$2:$A$26,MATCH($C217,'Shultis Faw'!$A$2:$A$26,1)))*(INDEX('Shultis Faw'!$B$2:$B$26,MATCH($C217,'Shultis Faw'!$A$2:$A$26,1)+1)-INDEX('Shultis Faw'!$B$2:$B$26,MATCH($C217,'Shultis Faw'!$A$2:$A$26,1)))/(INDEX('Shultis Faw'!$A$2:$A$26,MATCH($C217,'Shultis Faw'!$A$2:$A$26,1)+1)-INDEX('Shultis Faw'!$A$2:$A$26,MATCH($C217,'Shultis Faw'!$A$2:$A$26,1))),$C217*'Shultis Faw'!$B$2/'Shultis Faw'!$A$2)</f>
        <v>-8.0381999999999995E-2</v>
      </c>
      <c r="L217" s="83">
        <f>_xlfn.IFNA(INDEX('Shultis Faw'!$E$2:$E$26,MATCH($C217,'Shultis Faw'!$A$2:$A$26,1))+($C217-INDEX('Shultis Faw'!$A$2:$A$26,MATCH($C217,'Shultis Faw'!$A$2:$A$26,1)))*(INDEX('Shultis Faw'!$E$2:$E$26,MATCH($C217,'Shultis Faw'!$A$2:$A$26,1)+1)-INDEX('Shultis Faw'!$E$2:$E$26,MATCH($C217,'Shultis Faw'!$A$2:$A$26,1)))/(INDEX('Shultis Faw'!$A$2:$A$26,MATCH($C217,'Shultis Faw'!$A$2:$A$26,1)+1)-INDEX('Shultis Faw'!$A$2:$A$26,MATCH($C217,'Shultis Faw'!$A$2:$A$26,1))),$C217*'Shultis Faw'!$E$2/'Shultis Faw'!$A$2)</f>
        <v>3.4130399999999998E-2</v>
      </c>
      <c r="M217" s="83">
        <f>_xlfn.IFNA(INDEX('Shultis Faw'!$F$2:$F$26,MATCH($C217,'Shultis Faw'!$A$2:$A$26,1))+($C217-INDEX('Shultis Faw'!$A$2:$A$26,MATCH($C217,'Shultis Faw'!$A$2:$A$26,1)))*(INDEX('Shultis Faw'!$F$2:$F$26,MATCH($C217,'Shultis Faw'!$A$2:$A$26,1)+1)-INDEX('Shultis Faw'!$F$2:$F$26,MATCH($C217,'Shultis Faw'!$A$2:$A$26,1)))/(INDEX('Shultis Faw'!$A$2:$A$26,MATCH($C217,'Shultis Faw'!$A$2:$A$26,1)+1)-INDEX('Shultis Faw'!$A$2:$A$26,MATCH($C217,'Shultis Faw'!$A$2:$A$26,1))),$C217*'Shultis Faw'!$F$2/'Shultis Faw'!$A$2)</f>
        <v>14.3034</v>
      </c>
      <c r="N217" s="83">
        <f>J217*(H217*'Externe blootstelling'!$D$23/2)^K217+L217*(TANH(((H217*'Externe blootstelling'!$D$23)/(2*M217))-2)-TANH(-2))/(1-TANH(-2))</f>
        <v>1.393798778829362</v>
      </c>
      <c r="O217" s="83">
        <f>IF(N217=1,1+(I217-1)*H217*'Externe blootstelling'!$D$23/2,1+(I217-1)*(N217^(H217*'Externe blootstelling'!$D$23/2)-1)/(N217-1))</f>
        <v>2.0516197342656439</v>
      </c>
      <c r="P217" s="67">
        <f>G217*EXP(-H217*'Externe blootstelling'!$D$23/2)*O217</f>
        <v>4.8727390727521311E-5</v>
      </c>
      <c r="Q217" s="68"/>
    </row>
    <row r="218" spans="1:17" x14ac:dyDescent="0.2">
      <c r="A218" s="217"/>
      <c r="B218" s="64" t="s">
        <v>104</v>
      </c>
      <c r="C218" s="66">
        <v>1.17093</v>
      </c>
      <c r="D218" s="66">
        <f t="shared" si="14"/>
        <v>1.8734879999999999E-13</v>
      </c>
      <c r="E218" s="66">
        <v>3.6499999999999998E-4</v>
      </c>
      <c r="F218" s="66">
        <f>_xlfn.IFNA(INDEX('hp (pSv cm2)'!$B$2:$B$52,MATCH($C218,'hp (pSv cm2)'!$A$2:$A$52,1))+($C218-INDEX('hp (pSv cm2)'!$A$2:$A$52,MATCH($C218,'hp (pSv cm2)'!$A$2:$A$52,1)))*(INDEX('hp (pSv cm2)'!$B$2:$B$52,MATCH($C218,'hp (pSv cm2)'!$A$2:$A$52,1)+1)-INDEX('hp (pSv cm2)'!$B$2:$B$52,MATCH($C218,'hp (pSv cm2)'!$A$2:$A$52,1)))/(INDEX('hp (pSv cm2)'!$A$2:$A$52,MATCH($C218,'hp (pSv cm2)'!$A$2:$A$52,1)+1)-INDEX('hp (pSv cm2)'!$A$2:$A$52,MATCH($C218,'hp (pSv cm2)'!$A$2:$A$52,1))),$C218*'hp (pSv cm2)'!$B$2/'hp (pSv cm2)'!$A$2)</f>
        <v>5.0472318000000005</v>
      </c>
      <c r="G218" s="67">
        <f t="shared" si="15"/>
        <v>1.842239607E-3</v>
      </c>
      <c r="H218" s="83">
        <f>_xlfn.IFNA(0.997*(INDEX('Mass attenuation coefficients'!$B$2:$B$37,MATCH($C218,'Mass attenuation coefficients'!$A$2:$A$37,1))+($C218-INDEX('Mass attenuation coefficients'!$A$2:$A$37,MATCH($C218,'Mass attenuation coefficients'!$A$2:$A$37,1)))*(INDEX('Mass attenuation coefficients'!$B$2:$B$37,MATCH($C218,'Mass attenuation coefficients'!$A$2:$A$37,1)+1)-INDEX('Mass attenuation coefficients'!$B$2:$B$37,MATCH($C218,'Mass attenuation coefficients'!$A$2:$A$37,1)))/(INDEX('Mass attenuation coefficients'!$A$2:$A$37,MATCH($C218,'Mass attenuation coefficients'!$A$2:$A$37,1)+1)-INDEX('Mass attenuation coefficients'!$A$2:$A$37,MATCH($C218,'Mass attenuation coefficients'!$A$2:$A$37,1)))),0.997*$C218*'Mass attenuation coefficients'!$B$2/'Mass attenuation coefficients'!$A$2)</f>
        <v>6.5402140388400004E-2</v>
      </c>
      <c r="I218" s="83">
        <f>_xlfn.IFNA(INDEX('Shultis Faw'!$C$2:$C$26,MATCH($C218,'Shultis Faw'!$A$2:$A$26,1))+($C218-INDEX('Shultis Faw'!$A$2:$A$26,MATCH($C218,'Shultis Faw'!$A$2:$A$26,1)))*(INDEX('Shultis Faw'!$C$2:$C$26,MATCH($C218,'Shultis Faw'!$A$2:$A$26,1)+1)-INDEX('Shultis Faw'!$C$2:$C$26,MATCH($C218,'Shultis Faw'!$A$2:$A$26,1)))/(INDEX('Shultis Faw'!$A$2:$A$26,MATCH($C218,'Shultis Faw'!$A$2:$A$26,1)+1)-INDEX('Shultis Faw'!$A$2:$A$26,MATCH($C218,'Shultis Faw'!$A$2:$A$26,1))),$C218*'Shultis Faw'!$C$2/'Shultis Faw'!$A$2)</f>
        <v>2.0469349600000002</v>
      </c>
      <c r="J218" s="83">
        <f>_xlfn.IFNA(INDEX('Shultis Faw'!$D$2:$D$26,MATCH($C218,'Shultis Faw'!$A$2:$A$26,1))+($C218-INDEX('Shultis Faw'!$A$2:$A$26,MATCH($C218,'Shultis Faw'!$A$2:$A$26,1)))*(INDEX('Shultis Faw'!$D$2:$D$26,MATCH($C218,'Shultis Faw'!$A$2:$A$26,1)+1)-INDEX('Shultis Faw'!$D$2:$D$26,MATCH($C218,'Shultis Faw'!$A$2:$A$26,1)))/(INDEX('Shultis Faw'!$A$2:$A$26,MATCH($C218,'Shultis Faw'!$A$2:$A$26,1)+1)-INDEX('Shultis Faw'!$A$2:$A$26,MATCH($C218,'Shultis Faw'!$A$2:$A$26,1))),$C218*'Shultis Faw'!$D$2/'Shultis Faw'!$A$2)</f>
        <v>1.3822000800000001</v>
      </c>
      <c r="K218" s="83">
        <f>_xlfn.IFNA(INDEX('Shultis Faw'!$B$2:$B$26,MATCH($C218,'Shultis Faw'!$A$2:$A$26,1))+($C218-INDEX('Shultis Faw'!$A$2:$A$26,MATCH($C218,'Shultis Faw'!$A$2:$A$26,1)))*(INDEX('Shultis Faw'!$B$2:$B$26,MATCH($C218,'Shultis Faw'!$A$2:$A$26,1)+1)-INDEX('Shultis Faw'!$B$2:$B$26,MATCH($C218,'Shultis Faw'!$A$2:$A$26,1)))/(INDEX('Shultis Faw'!$A$2:$A$26,MATCH($C218,'Shultis Faw'!$A$2:$A$26,1)+1)-INDEX('Shultis Faw'!$A$2:$A$26,MATCH($C218,'Shultis Faw'!$A$2:$A$26,1))),$C218*'Shultis Faw'!$B$2/'Shultis Faw'!$A$2)</f>
        <v>-7.8402340000000001E-2</v>
      </c>
      <c r="L218" s="83">
        <f>_xlfn.IFNA(INDEX('Shultis Faw'!$E$2:$E$26,MATCH($C218,'Shultis Faw'!$A$2:$A$26,1))+($C218-INDEX('Shultis Faw'!$A$2:$A$26,MATCH($C218,'Shultis Faw'!$A$2:$A$26,1)))*(INDEX('Shultis Faw'!$E$2:$E$26,MATCH($C218,'Shultis Faw'!$A$2:$A$26,1)+1)-INDEX('Shultis Faw'!$E$2:$E$26,MATCH($C218,'Shultis Faw'!$A$2:$A$26,1)))/(INDEX('Shultis Faw'!$A$2:$A$26,MATCH($C218,'Shultis Faw'!$A$2:$A$26,1)+1)-INDEX('Shultis Faw'!$A$2:$A$26,MATCH($C218,'Shultis Faw'!$A$2:$A$26,1))),$C218*'Shultis Faw'!$E$2/'Shultis Faw'!$A$2)</f>
        <v>3.3287447999999997E-2</v>
      </c>
      <c r="M218" s="83">
        <f>_xlfn.IFNA(INDEX('Shultis Faw'!$F$2:$F$26,MATCH($C218,'Shultis Faw'!$A$2:$A$26,1))+($C218-INDEX('Shultis Faw'!$A$2:$A$26,MATCH($C218,'Shultis Faw'!$A$2:$A$26,1)))*(INDEX('Shultis Faw'!$F$2:$F$26,MATCH($C218,'Shultis Faw'!$A$2:$A$26,1)+1)-INDEX('Shultis Faw'!$F$2:$F$26,MATCH($C218,'Shultis Faw'!$A$2:$A$26,1)))/(INDEX('Shultis Faw'!$A$2:$A$26,MATCH($C218,'Shultis Faw'!$A$2:$A$26,1)+1)-INDEX('Shultis Faw'!$A$2:$A$26,MATCH($C218,'Shultis Faw'!$A$2:$A$26,1))),$C218*'Shultis Faw'!$F$2/'Shultis Faw'!$A$2)</f>
        <v>14.322558000000001</v>
      </c>
      <c r="N218" s="83">
        <f>J218*(H218*'Externe blootstelling'!$D$23/2)^K218+L218*(TANH(((H218*'Externe blootstelling'!$D$23)/(2*M218))-2)-TANH(-2))/(1-TANH(-2))</f>
        <v>1.3843645611919815</v>
      </c>
      <c r="O218" s="83">
        <f>IF(N218=1,1+(I218-1)*H218*'Externe blootstelling'!$D$23/2,1+(I218-1)*(N218^(H218*'Externe blootstelling'!$D$23/2)-1)/(N218-1))</f>
        <v>2.0237443254842127</v>
      </c>
      <c r="P218" s="67">
        <f>G218*EXP(-H218*'Externe blootstelling'!$D$23/2)*O218</f>
        <v>1.3977996552131842E-3</v>
      </c>
      <c r="Q218" s="68"/>
    </row>
    <row r="219" spans="1:17" x14ac:dyDescent="0.2">
      <c r="A219" s="217"/>
      <c r="B219" s="64" t="s">
        <v>104</v>
      </c>
      <c r="C219" s="66">
        <v>1.2061099999999998</v>
      </c>
      <c r="D219" s="66">
        <f t="shared" si="14"/>
        <v>1.9297759999999995E-13</v>
      </c>
      <c r="E219" s="66">
        <v>1.35E-4</v>
      </c>
      <c r="F219" s="66">
        <f>_xlfn.IFNA(INDEX('hp (pSv cm2)'!$B$2:$B$52,MATCH($C219,'hp (pSv cm2)'!$A$2:$A$52,1))+($C219-INDEX('hp (pSv cm2)'!$A$2:$A$52,MATCH($C219,'hp (pSv cm2)'!$A$2:$A$52,1)))*(INDEX('hp (pSv cm2)'!$B$2:$B$52,MATCH($C219,'hp (pSv cm2)'!$A$2:$A$52,1)+1)-INDEX('hp (pSv cm2)'!$B$2:$B$52,MATCH($C219,'hp (pSv cm2)'!$A$2:$A$52,1)))/(INDEX('hp (pSv cm2)'!$A$2:$A$52,MATCH($C219,'hp (pSv cm2)'!$A$2:$A$52,1)+1)-INDEX('hp (pSv cm2)'!$A$2:$A$52,MATCH($C219,'hp (pSv cm2)'!$A$2:$A$52,1))),$C219*'hp (pSv cm2)'!$B$2/'hp (pSv cm2)'!$A$2)</f>
        <v>5.1619185999999999</v>
      </c>
      <c r="G219" s="67">
        <f t="shared" si="15"/>
        <v>6.9685901100000004E-4</v>
      </c>
      <c r="H219" s="83">
        <f>_xlfn.IFNA(0.997*(INDEX('Mass attenuation coefficients'!$B$2:$B$37,MATCH($C219,'Mass attenuation coefficients'!$A$2:$A$37,1))+($C219-INDEX('Mass attenuation coefficients'!$A$2:$A$37,MATCH($C219,'Mass attenuation coefficients'!$A$2:$A$37,1)))*(INDEX('Mass attenuation coefficients'!$B$2:$B$37,MATCH($C219,'Mass attenuation coefficients'!$A$2:$A$37,1)+1)-INDEX('Mass attenuation coefficients'!$B$2:$B$37,MATCH($C219,'Mass attenuation coefficients'!$A$2:$A$37,1)))/(INDEX('Mass attenuation coefficients'!$A$2:$A$37,MATCH($C219,'Mass attenuation coefficients'!$A$2:$A$37,1)+1)-INDEX('Mass attenuation coefficients'!$A$2:$A$37,MATCH($C219,'Mass attenuation coefficients'!$A$2:$A$37,1)))),0.997*$C219*'Mass attenuation coefficients'!$B$2/'Mass attenuation coefficients'!$A$2)</f>
        <v>6.4351309566799991E-2</v>
      </c>
      <c r="I219" s="83">
        <f>_xlfn.IFNA(INDEX('Shultis Faw'!$C$2:$C$26,MATCH($C219,'Shultis Faw'!$A$2:$A$26,1))+($C219-INDEX('Shultis Faw'!$A$2:$A$26,MATCH($C219,'Shultis Faw'!$A$2:$A$26,1)))*(INDEX('Shultis Faw'!$C$2:$C$26,MATCH($C219,'Shultis Faw'!$A$2:$A$26,1)+1)-INDEX('Shultis Faw'!$C$2:$C$26,MATCH($C219,'Shultis Faw'!$A$2:$A$26,1)))/(INDEX('Shultis Faw'!$A$2:$A$26,MATCH($C219,'Shultis Faw'!$A$2:$A$26,1)+1)-INDEX('Shultis Faw'!$A$2:$A$26,MATCH($C219,'Shultis Faw'!$A$2:$A$26,1))),$C219*'Shultis Faw'!$C$2/'Shultis Faw'!$A$2)</f>
        <v>2.03539592</v>
      </c>
      <c r="J219" s="83">
        <f>_xlfn.IFNA(INDEX('Shultis Faw'!$D$2:$D$26,MATCH($C219,'Shultis Faw'!$A$2:$A$26,1))+($C219-INDEX('Shultis Faw'!$A$2:$A$26,MATCH($C219,'Shultis Faw'!$A$2:$A$26,1)))*(INDEX('Shultis Faw'!$D$2:$D$26,MATCH($C219,'Shultis Faw'!$A$2:$A$26,1)+1)-INDEX('Shultis Faw'!$D$2:$D$26,MATCH($C219,'Shultis Faw'!$A$2:$A$26,1)))/(INDEX('Shultis Faw'!$A$2:$A$26,MATCH($C219,'Shultis Faw'!$A$2:$A$26,1)+1)-INDEX('Shultis Faw'!$A$2:$A$26,MATCH($C219,'Shultis Faw'!$A$2:$A$26,1))),$C219*'Shultis Faw'!$D$2/'Shultis Faw'!$A$2)</f>
        <v>1.37009816</v>
      </c>
      <c r="K219" s="83">
        <f>_xlfn.IFNA(INDEX('Shultis Faw'!$B$2:$B$26,MATCH($C219,'Shultis Faw'!$A$2:$A$26,1))+($C219-INDEX('Shultis Faw'!$A$2:$A$26,MATCH($C219,'Shultis Faw'!$A$2:$A$26,1)))*(INDEX('Shultis Faw'!$B$2:$B$26,MATCH($C219,'Shultis Faw'!$A$2:$A$26,1)+1)-INDEX('Shultis Faw'!$B$2:$B$26,MATCH($C219,'Shultis Faw'!$A$2:$A$26,1)))/(INDEX('Shultis Faw'!$A$2:$A$26,MATCH($C219,'Shultis Faw'!$A$2:$A$26,1)+1)-INDEX('Shultis Faw'!$A$2:$A$26,MATCH($C219,'Shultis Faw'!$A$2:$A$26,1))),$C219*'Shultis Faw'!$B$2/'Shultis Faw'!$A$2)</f>
        <v>-7.6221180000000013E-2</v>
      </c>
      <c r="L219" s="83">
        <f>_xlfn.IFNA(INDEX('Shultis Faw'!$E$2:$E$26,MATCH($C219,'Shultis Faw'!$A$2:$A$26,1))+($C219-INDEX('Shultis Faw'!$A$2:$A$26,MATCH($C219,'Shultis Faw'!$A$2:$A$26,1)))*(INDEX('Shultis Faw'!$E$2:$E$26,MATCH($C219,'Shultis Faw'!$A$2:$A$26,1)+1)-INDEX('Shultis Faw'!$E$2:$E$26,MATCH($C219,'Shultis Faw'!$A$2:$A$26,1)))/(INDEX('Shultis Faw'!$A$2:$A$26,MATCH($C219,'Shultis Faw'!$A$2:$A$26,1)+1)-INDEX('Shultis Faw'!$A$2:$A$26,MATCH($C219,'Shultis Faw'!$A$2:$A$26,1))),$C219*'Shultis Faw'!$E$2/'Shultis Faw'!$A$2)</f>
        <v>3.2358696000000006E-2</v>
      </c>
      <c r="M219" s="83">
        <f>_xlfn.IFNA(INDEX('Shultis Faw'!$F$2:$F$26,MATCH($C219,'Shultis Faw'!$A$2:$A$26,1))+($C219-INDEX('Shultis Faw'!$A$2:$A$26,MATCH($C219,'Shultis Faw'!$A$2:$A$26,1)))*(INDEX('Shultis Faw'!$F$2:$F$26,MATCH($C219,'Shultis Faw'!$A$2:$A$26,1)+1)-INDEX('Shultis Faw'!$F$2:$F$26,MATCH($C219,'Shultis Faw'!$A$2:$A$26,1)))/(INDEX('Shultis Faw'!$A$2:$A$26,MATCH($C219,'Shultis Faw'!$A$2:$A$26,1)+1)-INDEX('Shultis Faw'!$A$2:$A$26,MATCH($C219,'Shultis Faw'!$A$2:$A$26,1))),$C219*'Shultis Faw'!$F$2/'Shultis Faw'!$A$2)</f>
        <v>14.343666000000001</v>
      </c>
      <c r="N219" s="83">
        <f>J219*(H219*'Externe blootstelling'!$D$23/2)^K219+L219*(TANH(((H219*'Externe blootstelling'!$D$23)/(2*M219))-2)-TANH(-2))/(1-TANH(-2))</f>
        <v>1.3738781582070383</v>
      </c>
      <c r="O219" s="83">
        <f>IF(N219=1,1+(I219-1)*H219*'Externe blootstelling'!$D$23/2,1+(I219-1)*(N219^(H219*'Externe blootstelling'!$D$23/2)-1)/(N219-1))</f>
        <v>1.9936540107906315</v>
      </c>
      <c r="P219" s="67">
        <f>G219*EXP(-H219*'Externe blootstelling'!$D$23/2)*O219</f>
        <v>5.2915564226183997E-4</v>
      </c>
      <c r="Q219" s="68"/>
    </row>
    <row r="220" spans="1:17" x14ac:dyDescent="0.2">
      <c r="A220" s="217"/>
      <c r="B220" s="64" t="s">
        <v>104</v>
      </c>
      <c r="C220" s="66">
        <v>1.2129480000000001</v>
      </c>
      <c r="D220" s="66">
        <f t="shared" si="14"/>
        <v>1.9407168000000003E-13</v>
      </c>
      <c r="E220" s="66">
        <v>1.4159999999999999E-2</v>
      </c>
      <c r="F220" s="66">
        <f>_xlfn.IFNA(INDEX('hp (pSv cm2)'!$B$2:$B$52,MATCH($C220,'hp (pSv cm2)'!$A$2:$A$52,1))+($C220-INDEX('hp (pSv cm2)'!$A$2:$A$52,MATCH($C220,'hp (pSv cm2)'!$A$2:$A$52,1)))*(INDEX('hp (pSv cm2)'!$B$2:$B$52,MATCH($C220,'hp (pSv cm2)'!$A$2:$A$52,1)+1)-INDEX('hp (pSv cm2)'!$B$2:$B$52,MATCH($C220,'hp (pSv cm2)'!$A$2:$A$52,1)))/(INDEX('hp (pSv cm2)'!$A$2:$A$52,MATCH($C220,'hp (pSv cm2)'!$A$2:$A$52,1)+1)-INDEX('hp (pSv cm2)'!$A$2:$A$52,MATCH($C220,'hp (pSv cm2)'!$A$2:$A$52,1))),$C220*'hp (pSv cm2)'!$B$2/'hp (pSv cm2)'!$A$2)</f>
        <v>5.1842104800000008</v>
      </c>
      <c r="G220" s="67">
        <f t="shared" si="15"/>
        <v>7.3408420396800012E-2</v>
      </c>
      <c r="H220" s="83">
        <f>_xlfn.IFNA(0.997*(INDEX('Mass attenuation coefficients'!$B$2:$B$37,MATCH($C220,'Mass attenuation coefficients'!$A$2:$A$37,1))+($C220-INDEX('Mass attenuation coefficients'!$A$2:$A$37,MATCH($C220,'Mass attenuation coefficients'!$A$2:$A$37,1)))*(INDEX('Mass attenuation coefficients'!$B$2:$B$37,MATCH($C220,'Mass attenuation coefficients'!$A$2:$A$37,1)+1)-INDEX('Mass attenuation coefficients'!$B$2:$B$37,MATCH($C220,'Mass attenuation coefficients'!$A$2:$A$37,1)))/(INDEX('Mass attenuation coefficients'!$A$2:$A$37,MATCH($C220,'Mass attenuation coefficients'!$A$2:$A$37,1)+1)-INDEX('Mass attenuation coefficients'!$A$2:$A$37,MATCH($C220,'Mass attenuation coefficients'!$A$2:$A$37,1)))),0.997*$C220*'Mass attenuation coefficients'!$B$2/'Mass attenuation coefficients'!$A$2)</f>
        <v>6.4147057686239989E-2</v>
      </c>
      <c r="I220" s="83">
        <f>_xlfn.IFNA(INDEX('Shultis Faw'!$C$2:$C$26,MATCH($C220,'Shultis Faw'!$A$2:$A$26,1))+($C220-INDEX('Shultis Faw'!$A$2:$A$26,MATCH($C220,'Shultis Faw'!$A$2:$A$26,1)))*(INDEX('Shultis Faw'!$C$2:$C$26,MATCH($C220,'Shultis Faw'!$A$2:$A$26,1)+1)-INDEX('Shultis Faw'!$C$2:$C$26,MATCH($C220,'Shultis Faw'!$A$2:$A$26,1)))/(INDEX('Shultis Faw'!$A$2:$A$26,MATCH($C220,'Shultis Faw'!$A$2:$A$26,1)+1)-INDEX('Shultis Faw'!$A$2:$A$26,MATCH($C220,'Shultis Faw'!$A$2:$A$26,1))),$C220*'Shultis Faw'!$C$2/'Shultis Faw'!$A$2)</f>
        <v>2.0331530560000002</v>
      </c>
      <c r="J220" s="83">
        <f>_xlfn.IFNA(INDEX('Shultis Faw'!$D$2:$D$26,MATCH($C220,'Shultis Faw'!$A$2:$A$26,1))+($C220-INDEX('Shultis Faw'!$A$2:$A$26,MATCH($C220,'Shultis Faw'!$A$2:$A$26,1)))*(INDEX('Shultis Faw'!$D$2:$D$26,MATCH($C220,'Shultis Faw'!$A$2:$A$26,1)+1)-INDEX('Shultis Faw'!$D$2:$D$26,MATCH($C220,'Shultis Faw'!$A$2:$A$26,1)))/(INDEX('Shultis Faw'!$A$2:$A$26,MATCH($C220,'Shultis Faw'!$A$2:$A$26,1)+1)-INDEX('Shultis Faw'!$A$2:$A$26,MATCH($C220,'Shultis Faw'!$A$2:$A$26,1))),$C220*'Shultis Faw'!$D$2/'Shultis Faw'!$A$2)</f>
        <v>1.367745888</v>
      </c>
      <c r="K220" s="83">
        <f>_xlfn.IFNA(INDEX('Shultis Faw'!$B$2:$B$26,MATCH($C220,'Shultis Faw'!$A$2:$A$26,1))+($C220-INDEX('Shultis Faw'!$A$2:$A$26,MATCH($C220,'Shultis Faw'!$A$2:$A$26,1)))*(INDEX('Shultis Faw'!$B$2:$B$26,MATCH($C220,'Shultis Faw'!$A$2:$A$26,1)+1)-INDEX('Shultis Faw'!$B$2:$B$26,MATCH($C220,'Shultis Faw'!$A$2:$A$26,1)))/(INDEX('Shultis Faw'!$A$2:$A$26,MATCH($C220,'Shultis Faw'!$A$2:$A$26,1)+1)-INDEX('Shultis Faw'!$A$2:$A$26,MATCH($C220,'Shultis Faw'!$A$2:$A$26,1))),$C220*'Shultis Faw'!$B$2/'Shultis Faw'!$A$2)</f>
        <v>-7.5797223999999996E-2</v>
      </c>
      <c r="L220" s="83">
        <f>_xlfn.IFNA(INDEX('Shultis Faw'!$E$2:$E$26,MATCH($C220,'Shultis Faw'!$A$2:$A$26,1))+($C220-INDEX('Shultis Faw'!$A$2:$A$26,MATCH($C220,'Shultis Faw'!$A$2:$A$26,1)))*(INDEX('Shultis Faw'!$E$2:$E$26,MATCH($C220,'Shultis Faw'!$A$2:$A$26,1)+1)-INDEX('Shultis Faw'!$E$2:$E$26,MATCH($C220,'Shultis Faw'!$A$2:$A$26,1)))/(INDEX('Shultis Faw'!$A$2:$A$26,MATCH($C220,'Shultis Faw'!$A$2:$A$26,1)+1)-INDEX('Shultis Faw'!$A$2:$A$26,MATCH($C220,'Shultis Faw'!$A$2:$A$26,1))),$C220*'Shultis Faw'!$E$2/'Shultis Faw'!$A$2)</f>
        <v>3.2178172799999995E-2</v>
      </c>
      <c r="M220" s="83">
        <f>_xlfn.IFNA(INDEX('Shultis Faw'!$F$2:$F$26,MATCH($C220,'Shultis Faw'!$A$2:$A$26,1))+($C220-INDEX('Shultis Faw'!$A$2:$A$26,MATCH($C220,'Shultis Faw'!$A$2:$A$26,1)))*(INDEX('Shultis Faw'!$F$2:$F$26,MATCH($C220,'Shultis Faw'!$A$2:$A$26,1)+1)-INDEX('Shultis Faw'!$F$2:$F$26,MATCH($C220,'Shultis Faw'!$A$2:$A$26,1)))/(INDEX('Shultis Faw'!$A$2:$A$26,MATCH($C220,'Shultis Faw'!$A$2:$A$26,1)+1)-INDEX('Shultis Faw'!$A$2:$A$26,MATCH($C220,'Shultis Faw'!$A$2:$A$26,1))),$C220*'Shultis Faw'!$F$2/'Shultis Faw'!$A$2)</f>
        <v>14.347768800000001</v>
      </c>
      <c r="N220" s="83">
        <f>J220*(H220*'Externe blootstelling'!$D$23/2)^K220+L220*(TANH(((H220*'Externe blootstelling'!$D$23)/(2*M220))-2)-TANH(-2))/(1-TANH(-2))</f>
        <v>1.3718287163190903</v>
      </c>
      <c r="O220" s="83">
        <f>IF(N220=1,1+(I220-1)*H220*'Externe blootstelling'!$D$23/2,1+(I220-1)*(N220^(H220*'Externe blootstelling'!$D$23/2)-1)/(N220-1))</f>
        <v>1.9878799877318545</v>
      </c>
      <c r="P220" s="67">
        <f>G220*EXP(-H220*'Externe blootstelling'!$D$23/2)*O220</f>
        <v>5.5751344192041474E-2</v>
      </c>
      <c r="Q220" s="68"/>
    </row>
    <row r="221" spans="1:17" x14ac:dyDescent="0.2">
      <c r="A221" s="217"/>
      <c r="B221" s="64" t="s">
        <v>104</v>
      </c>
      <c r="C221" s="66">
        <v>1.249938</v>
      </c>
      <c r="D221" s="66">
        <f t="shared" si="14"/>
        <v>1.9999008E-13</v>
      </c>
      <c r="E221" s="66">
        <v>1.8599999999999999E-3</v>
      </c>
      <c r="F221" s="66">
        <f>_xlfn.IFNA(INDEX('hp (pSv cm2)'!$B$2:$B$52,MATCH($C221,'hp (pSv cm2)'!$A$2:$A$52,1))+($C221-INDEX('hp (pSv cm2)'!$A$2:$A$52,MATCH($C221,'hp (pSv cm2)'!$A$2:$A$52,1)))*(INDEX('hp (pSv cm2)'!$B$2:$B$52,MATCH($C221,'hp (pSv cm2)'!$A$2:$A$52,1)+1)-INDEX('hp (pSv cm2)'!$B$2:$B$52,MATCH($C221,'hp (pSv cm2)'!$A$2:$A$52,1)))/(INDEX('hp (pSv cm2)'!$A$2:$A$52,MATCH($C221,'hp (pSv cm2)'!$A$2:$A$52,1)+1)-INDEX('hp (pSv cm2)'!$A$2:$A$52,MATCH($C221,'hp (pSv cm2)'!$A$2:$A$52,1))),$C221*'hp (pSv cm2)'!$B$2/'hp (pSv cm2)'!$A$2)</f>
        <v>5.3047978800000006</v>
      </c>
      <c r="G221" s="67">
        <f t="shared" si="15"/>
        <v>9.8669240568000013E-3</v>
      </c>
      <c r="H221" s="83">
        <f>_xlfn.IFNA(0.997*(INDEX('Mass attenuation coefficients'!$B$2:$B$37,MATCH($C221,'Mass attenuation coefficients'!$A$2:$A$37,1))+($C221-INDEX('Mass attenuation coefficients'!$A$2:$A$37,MATCH($C221,'Mass attenuation coefficients'!$A$2:$A$37,1)))*(INDEX('Mass attenuation coefficients'!$B$2:$B$37,MATCH($C221,'Mass attenuation coefficients'!$A$2:$A$37,1)+1)-INDEX('Mass attenuation coefficients'!$B$2:$B$37,MATCH($C221,'Mass attenuation coefficients'!$A$2:$A$37,1)))/(INDEX('Mass attenuation coefficients'!$A$2:$A$37,MATCH($C221,'Mass attenuation coefficients'!$A$2:$A$37,1)+1)-INDEX('Mass attenuation coefficients'!$A$2:$A$37,MATCH($C221,'Mass attenuation coefficients'!$A$2:$A$37,1)))),0.997*$C221*'Mass attenuation coefficients'!$B$2/'Mass attenuation coefficients'!$A$2)</f>
        <v>6.3042161947439987E-2</v>
      </c>
      <c r="I221" s="83">
        <f>_xlfn.IFNA(INDEX('Shultis Faw'!$C$2:$C$26,MATCH($C221,'Shultis Faw'!$A$2:$A$26,1))+($C221-INDEX('Shultis Faw'!$A$2:$A$26,MATCH($C221,'Shultis Faw'!$A$2:$A$26,1)))*(INDEX('Shultis Faw'!$C$2:$C$26,MATCH($C221,'Shultis Faw'!$A$2:$A$26,1)+1)-INDEX('Shultis Faw'!$C$2:$C$26,MATCH($C221,'Shultis Faw'!$A$2:$A$26,1)))/(INDEX('Shultis Faw'!$A$2:$A$26,MATCH($C221,'Shultis Faw'!$A$2:$A$26,1)+1)-INDEX('Shultis Faw'!$A$2:$A$26,MATCH($C221,'Shultis Faw'!$A$2:$A$26,1))),$C221*'Shultis Faw'!$C$2/'Shultis Faw'!$A$2)</f>
        <v>2.0210203360000003</v>
      </c>
      <c r="J221" s="83">
        <f>_xlfn.IFNA(INDEX('Shultis Faw'!$D$2:$D$26,MATCH($C221,'Shultis Faw'!$A$2:$A$26,1))+($C221-INDEX('Shultis Faw'!$A$2:$A$26,MATCH($C221,'Shultis Faw'!$A$2:$A$26,1)))*(INDEX('Shultis Faw'!$D$2:$D$26,MATCH($C221,'Shultis Faw'!$A$2:$A$26,1)+1)-INDEX('Shultis Faw'!$D$2:$D$26,MATCH($C221,'Shultis Faw'!$A$2:$A$26,1)))/(INDEX('Shultis Faw'!$A$2:$A$26,MATCH($C221,'Shultis Faw'!$A$2:$A$26,1)+1)-INDEX('Shultis Faw'!$A$2:$A$26,MATCH($C221,'Shultis Faw'!$A$2:$A$26,1))),$C221*'Shultis Faw'!$D$2/'Shultis Faw'!$A$2)</f>
        <v>1.3550213280000001</v>
      </c>
      <c r="K221" s="83">
        <f>_xlfn.IFNA(INDEX('Shultis Faw'!$B$2:$B$26,MATCH($C221,'Shultis Faw'!$A$2:$A$26,1))+($C221-INDEX('Shultis Faw'!$A$2:$A$26,MATCH($C221,'Shultis Faw'!$A$2:$A$26,1)))*(INDEX('Shultis Faw'!$B$2:$B$26,MATCH($C221,'Shultis Faw'!$A$2:$A$26,1)+1)-INDEX('Shultis Faw'!$B$2:$B$26,MATCH($C221,'Shultis Faw'!$A$2:$A$26,1)))/(INDEX('Shultis Faw'!$A$2:$A$26,MATCH($C221,'Shultis Faw'!$A$2:$A$26,1)+1)-INDEX('Shultis Faw'!$A$2:$A$26,MATCH($C221,'Shultis Faw'!$A$2:$A$26,1))),$C221*'Shultis Faw'!$B$2/'Shultis Faw'!$A$2)</f>
        <v>-7.3503843999999999E-2</v>
      </c>
      <c r="L221" s="83">
        <f>_xlfn.IFNA(INDEX('Shultis Faw'!$E$2:$E$26,MATCH($C221,'Shultis Faw'!$A$2:$A$26,1))+($C221-INDEX('Shultis Faw'!$A$2:$A$26,MATCH($C221,'Shultis Faw'!$A$2:$A$26,1)))*(INDEX('Shultis Faw'!$E$2:$E$26,MATCH($C221,'Shultis Faw'!$A$2:$A$26,1)+1)-INDEX('Shultis Faw'!$E$2:$E$26,MATCH($C221,'Shultis Faw'!$A$2:$A$26,1)))/(INDEX('Shultis Faw'!$A$2:$A$26,MATCH($C221,'Shultis Faw'!$A$2:$A$26,1)+1)-INDEX('Shultis Faw'!$A$2:$A$26,MATCH($C221,'Shultis Faw'!$A$2:$A$26,1))),$C221*'Shultis Faw'!$E$2/'Shultis Faw'!$A$2)</f>
        <v>3.1201636800000002E-2</v>
      </c>
      <c r="M221" s="83">
        <f>_xlfn.IFNA(INDEX('Shultis Faw'!$F$2:$F$26,MATCH($C221,'Shultis Faw'!$A$2:$A$26,1))+($C221-INDEX('Shultis Faw'!$A$2:$A$26,MATCH($C221,'Shultis Faw'!$A$2:$A$26,1)))*(INDEX('Shultis Faw'!$F$2:$F$26,MATCH($C221,'Shultis Faw'!$A$2:$A$26,1)+1)-INDEX('Shultis Faw'!$F$2:$F$26,MATCH($C221,'Shultis Faw'!$A$2:$A$26,1)))/(INDEX('Shultis Faw'!$A$2:$A$26,MATCH($C221,'Shultis Faw'!$A$2:$A$26,1)+1)-INDEX('Shultis Faw'!$A$2:$A$26,MATCH($C221,'Shultis Faw'!$A$2:$A$26,1))),$C221*'Shultis Faw'!$F$2/'Shultis Faw'!$A$2)</f>
        <v>14.3699628</v>
      </c>
      <c r="N221" s="83">
        <f>J221*(H221*'Externe blootstelling'!$D$23/2)^K221+L221*(TANH(((H221*'Externe blootstelling'!$D$23)/(2*M221))-2)-TANH(-2))/(1-TANH(-2))</f>
        <v>1.3606792577704507</v>
      </c>
      <c r="O221" s="83">
        <f>IF(N221=1,1+(I221-1)*H221*'Externe blootstelling'!$D$23/2,1+(I221-1)*(N221^(H221*'Externe blootstelling'!$D$23/2)-1)/(N221-1))</f>
        <v>1.9570606681224434</v>
      </c>
      <c r="P221" s="67">
        <f>G221*EXP(-H221*'Externe blootstelling'!$D$23/2)*O221</f>
        <v>7.5007230191927645E-3</v>
      </c>
      <c r="Q221" s="68"/>
    </row>
    <row r="222" spans="1:17" x14ac:dyDescent="0.2">
      <c r="A222" s="217"/>
      <c r="B222" s="64" t="s">
        <v>104</v>
      </c>
      <c r="C222" s="66">
        <v>1.2613430000000001</v>
      </c>
      <c r="D222" s="66">
        <f t="shared" si="14"/>
        <v>2.0181487999999998E-13</v>
      </c>
      <c r="E222" s="66">
        <v>3.3599999999999998E-4</v>
      </c>
      <c r="F222" s="66">
        <f>_xlfn.IFNA(INDEX('hp (pSv cm2)'!$B$2:$B$52,MATCH($C222,'hp (pSv cm2)'!$A$2:$A$52,1))+($C222-INDEX('hp (pSv cm2)'!$A$2:$A$52,MATCH($C222,'hp (pSv cm2)'!$A$2:$A$52,1)))*(INDEX('hp (pSv cm2)'!$B$2:$B$52,MATCH($C222,'hp (pSv cm2)'!$A$2:$A$52,1)+1)-INDEX('hp (pSv cm2)'!$B$2:$B$52,MATCH($C222,'hp (pSv cm2)'!$A$2:$A$52,1)))/(INDEX('hp (pSv cm2)'!$A$2:$A$52,MATCH($C222,'hp (pSv cm2)'!$A$2:$A$52,1)+1)-INDEX('hp (pSv cm2)'!$A$2:$A$52,MATCH($C222,'hp (pSv cm2)'!$A$2:$A$52,1))),$C222*'hp (pSv cm2)'!$B$2/'hp (pSv cm2)'!$A$2)</f>
        <v>5.3419781800000008</v>
      </c>
      <c r="G222" s="67">
        <f t="shared" si="15"/>
        <v>1.7949046684800002E-3</v>
      </c>
      <c r="H222" s="83">
        <f>_xlfn.IFNA(0.997*(INDEX('Mass attenuation coefficients'!$B$2:$B$37,MATCH($C222,'Mass attenuation coefficients'!$A$2:$A$37,1))+($C222-INDEX('Mass attenuation coefficients'!$A$2:$A$37,MATCH($C222,'Mass attenuation coefficients'!$A$2:$A$37,1)))*(INDEX('Mass attenuation coefficients'!$B$2:$B$37,MATCH($C222,'Mass attenuation coefficients'!$A$2:$A$37,1)+1)-INDEX('Mass attenuation coefficients'!$B$2:$B$37,MATCH($C222,'Mass attenuation coefficients'!$A$2:$A$37,1)))/(INDEX('Mass attenuation coefficients'!$A$2:$A$37,MATCH($C222,'Mass attenuation coefficients'!$A$2:$A$37,1)+1)-INDEX('Mass attenuation coefficients'!$A$2:$A$37,MATCH($C222,'Mass attenuation coefficients'!$A$2:$A$37,1)))),0.997*$C222*'Mass attenuation coefficients'!$B$2/'Mass attenuation coefficients'!$A$2)</f>
        <v>6.2782917820039988E-2</v>
      </c>
      <c r="I222" s="83">
        <f>_xlfn.IFNA(INDEX('Shultis Faw'!$C$2:$C$26,MATCH($C222,'Shultis Faw'!$A$2:$A$26,1))+($C222-INDEX('Shultis Faw'!$A$2:$A$26,MATCH($C222,'Shultis Faw'!$A$2:$A$26,1)))*(INDEX('Shultis Faw'!$C$2:$C$26,MATCH($C222,'Shultis Faw'!$A$2:$A$26,1)+1)-INDEX('Shultis Faw'!$C$2:$C$26,MATCH($C222,'Shultis Faw'!$A$2:$A$26,1)))/(INDEX('Shultis Faw'!$A$2:$A$26,MATCH($C222,'Shultis Faw'!$A$2:$A$26,1)+1)-INDEX('Shultis Faw'!$A$2:$A$26,MATCH($C222,'Shultis Faw'!$A$2:$A$26,1))),$C222*'Shultis Faw'!$C$2/'Shultis Faw'!$A$2)</f>
        <v>2.017279496</v>
      </c>
      <c r="J222" s="83">
        <f>_xlfn.IFNA(INDEX('Shultis Faw'!$D$2:$D$26,MATCH($C222,'Shultis Faw'!$A$2:$A$26,1))+($C222-INDEX('Shultis Faw'!$A$2:$A$26,MATCH($C222,'Shultis Faw'!$A$2:$A$26,1)))*(INDEX('Shultis Faw'!$D$2:$D$26,MATCH($C222,'Shultis Faw'!$A$2:$A$26,1)+1)-INDEX('Shultis Faw'!$D$2:$D$26,MATCH($C222,'Shultis Faw'!$A$2:$A$26,1)))/(INDEX('Shultis Faw'!$A$2:$A$26,MATCH($C222,'Shultis Faw'!$A$2:$A$26,1)+1)-INDEX('Shultis Faw'!$A$2:$A$26,MATCH($C222,'Shultis Faw'!$A$2:$A$26,1))),$C222*'Shultis Faw'!$D$2/'Shultis Faw'!$A$2)</f>
        <v>1.3510980079999999</v>
      </c>
      <c r="K222" s="83">
        <f>_xlfn.IFNA(INDEX('Shultis Faw'!$B$2:$B$26,MATCH($C222,'Shultis Faw'!$A$2:$A$26,1))+($C222-INDEX('Shultis Faw'!$A$2:$A$26,MATCH($C222,'Shultis Faw'!$A$2:$A$26,1)))*(INDEX('Shultis Faw'!$B$2:$B$26,MATCH($C222,'Shultis Faw'!$A$2:$A$26,1)+1)-INDEX('Shultis Faw'!$B$2:$B$26,MATCH($C222,'Shultis Faw'!$A$2:$A$26,1)))/(INDEX('Shultis Faw'!$A$2:$A$26,MATCH($C222,'Shultis Faw'!$A$2:$A$26,1)+1)-INDEX('Shultis Faw'!$A$2:$A$26,MATCH($C222,'Shultis Faw'!$A$2:$A$26,1))),$C222*'Shultis Faw'!$B$2/'Shultis Faw'!$A$2)</f>
        <v>-7.2796733999999988E-2</v>
      </c>
      <c r="L222" s="83">
        <f>_xlfn.IFNA(INDEX('Shultis Faw'!$E$2:$E$26,MATCH($C222,'Shultis Faw'!$A$2:$A$26,1))+($C222-INDEX('Shultis Faw'!$A$2:$A$26,MATCH($C222,'Shultis Faw'!$A$2:$A$26,1)))*(INDEX('Shultis Faw'!$E$2:$E$26,MATCH($C222,'Shultis Faw'!$A$2:$A$26,1)+1)-INDEX('Shultis Faw'!$E$2:$E$26,MATCH($C222,'Shultis Faw'!$A$2:$A$26,1)))/(INDEX('Shultis Faw'!$A$2:$A$26,MATCH($C222,'Shultis Faw'!$A$2:$A$26,1)+1)-INDEX('Shultis Faw'!$A$2:$A$26,MATCH($C222,'Shultis Faw'!$A$2:$A$26,1))),$C222*'Shultis Faw'!$E$2/'Shultis Faw'!$A$2)</f>
        <v>3.0900544799999999E-2</v>
      </c>
      <c r="M222" s="83">
        <f>_xlfn.IFNA(INDEX('Shultis Faw'!$F$2:$F$26,MATCH($C222,'Shultis Faw'!$A$2:$A$26,1))+($C222-INDEX('Shultis Faw'!$A$2:$A$26,MATCH($C222,'Shultis Faw'!$A$2:$A$26,1)))*(INDEX('Shultis Faw'!$F$2:$F$26,MATCH($C222,'Shultis Faw'!$A$2:$A$26,1)+1)-INDEX('Shultis Faw'!$F$2:$F$26,MATCH($C222,'Shultis Faw'!$A$2:$A$26,1)))/(INDEX('Shultis Faw'!$A$2:$A$26,MATCH($C222,'Shultis Faw'!$A$2:$A$26,1)+1)-INDEX('Shultis Faw'!$A$2:$A$26,MATCH($C222,'Shultis Faw'!$A$2:$A$26,1))),$C222*'Shultis Faw'!$F$2/'Shultis Faw'!$A$2)</f>
        <v>14.3768058</v>
      </c>
      <c r="N222" s="83">
        <f>J222*(H222*'Externe blootstelling'!$D$23/2)^K222+L222*(TANH(((H222*'Externe blootstelling'!$D$23)/(2*M222))-2)-TANH(-2))/(1-TANH(-2))</f>
        <v>1.3570920263344883</v>
      </c>
      <c r="O222" s="83">
        <f>IF(N222=1,1+(I222-1)*H222*'Externe blootstelling'!$D$23/2,1+(I222-1)*(N222^(H222*'Externe blootstelling'!$D$23/2)-1)/(N222-1))</f>
        <v>1.9491171440430126</v>
      </c>
      <c r="P222" s="67">
        <f>G222*EXP(-H222*'Externe blootstelling'!$D$23/2)*O222</f>
        <v>1.3642224970975354E-3</v>
      </c>
      <c r="Q222" s="68"/>
    </row>
    <row r="223" spans="1:17" x14ac:dyDescent="0.2">
      <c r="A223" s="217"/>
      <c r="B223" s="64" t="s">
        <v>104</v>
      </c>
      <c r="C223" s="66">
        <v>1.292778</v>
      </c>
      <c r="D223" s="66">
        <f t="shared" si="14"/>
        <v>2.0684447999999998E-13</v>
      </c>
      <c r="E223" s="66">
        <v>1.0399999999999999E-3</v>
      </c>
      <c r="F223" s="66">
        <f>_xlfn.IFNA(INDEX('hp (pSv cm2)'!$B$2:$B$52,MATCH($C223,'hp (pSv cm2)'!$A$2:$A$52,1))+($C223-INDEX('hp (pSv cm2)'!$A$2:$A$52,MATCH($C223,'hp (pSv cm2)'!$A$2:$A$52,1)))*(INDEX('hp (pSv cm2)'!$B$2:$B$52,MATCH($C223,'hp (pSv cm2)'!$A$2:$A$52,1)+1)-INDEX('hp (pSv cm2)'!$B$2:$B$52,MATCH($C223,'hp (pSv cm2)'!$A$2:$A$52,1)))/(INDEX('hp (pSv cm2)'!$A$2:$A$52,MATCH($C223,'hp (pSv cm2)'!$A$2:$A$52,1)+1)-INDEX('hp (pSv cm2)'!$A$2:$A$52,MATCH($C223,'hp (pSv cm2)'!$A$2:$A$52,1))),$C223*'hp (pSv cm2)'!$B$2/'hp (pSv cm2)'!$A$2)</f>
        <v>5.4444562799999998</v>
      </c>
      <c r="G223" s="67">
        <f t="shared" si="15"/>
        <v>5.6622345311999993E-3</v>
      </c>
      <c r="H223" s="83">
        <f>_xlfn.IFNA(0.997*(INDEX('Mass attenuation coefficients'!$B$2:$B$37,MATCH($C223,'Mass attenuation coefficients'!$A$2:$A$37,1))+($C223-INDEX('Mass attenuation coefficients'!$A$2:$A$37,MATCH($C223,'Mass attenuation coefficients'!$A$2:$A$37,1)))*(INDEX('Mass attenuation coefficients'!$B$2:$B$37,MATCH($C223,'Mass attenuation coefficients'!$A$2:$A$37,1)+1)-INDEX('Mass attenuation coefficients'!$B$2:$B$37,MATCH($C223,'Mass attenuation coefficients'!$A$2:$A$37,1)))/(INDEX('Mass attenuation coefficients'!$A$2:$A$37,MATCH($C223,'Mass attenuation coefficients'!$A$2:$A$37,1)+1)-INDEX('Mass attenuation coefficients'!$A$2:$A$37,MATCH($C223,'Mass attenuation coefficients'!$A$2:$A$37,1)))),0.997*$C223*'Mass attenuation coefficients'!$B$2/'Mass attenuation coefficients'!$A$2)</f>
        <v>6.2069603601839995E-2</v>
      </c>
      <c r="I223" s="83">
        <f>_xlfn.IFNA(INDEX('Shultis Faw'!$C$2:$C$26,MATCH($C223,'Shultis Faw'!$A$2:$A$26,1))+($C223-INDEX('Shultis Faw'!$A$2:$A$26,MATCH($C223,'Shultis Faw'!$A$2:$A$26,1)))*(INDEX('Shultis Faw'!$C$2:$C$26,MATCH($C223,'Shultis Faw'!$A$2:$A$26,1)+1)-INDEX('Shultis Faw'!$C$2:$C$26,MATCH($C223,'Shultis Faw'!$A$2:$A$26,1)))/(INDEX('Shultis Faw'!$A$2:$A$26,MATCH($C223,'Shultis Faw'!$A$2:$A$26,1)+1)-INDEX('Shultis Faw'!$A$2:$A$26,MATCH($C223,'Shultis Faw'!$A$2:$A$26,1))),$C223*'Shultis Faw'!$C$2/'Shultis Faw'!$A$2)</f>
        <v>2.0069688160000001</v>
      </c>
      <c r="J223" s="83">
        <f>_xlfn.IFNA(INDEX('Shultis Faw'!$D$2:$D$26,MATCH($C223,'Shultis Faw'!$A$2:$A$26,1))+($C223-INDEX('Shultis Faw'!$A$2:$A$26,MATCH($C223,'Shultis Faw'!$A$2:$A$26,1)))*(INDEX('Shultis Faw'!$D$2:$D$26,MATCH($C223,'Shultis Faw'!$A$2:$A$26,1)+1)-INDEX('Shultis Faw'!$D$2:$D$26,MATCH($C223,'Shultis Faw'!$A$2:$A$26,1)))/(INDEX('Shultis Faw'!$A$2:$A$26,MATCH($C223,'Shultis Faw'!$A$2:$A$26,1)+1)-INDEX('Shultis Faw'!$A$2:$A$26,MATCH($C223,'Shultis Faw'!$A$2:$A$26,1))),$C223*'Shultis Faw'!$D$2/'Shultis Faw'!$A$2)</f>
        <v>1.3402843680000001</v>
      </c>
      <c r="K223" s="83">
        <f>_xlfn.IFNA(INDEX('Shultis Faw'!$B$2:$B$26,MATCH($C223,'Shultis Faw'!$A$2:$A$26,1))+($C223-INDEX('Shultis Faw'!$A$2:$A$26,MATCH($C223,'Shultis Faw'!$A$2:$A$26,1)))*(INDEX('Shultis Faw'!$B$2:$B$26,MATCH($C223,'Shultis Faw'!$A$2:$A$26,1)+1)-INDEX('Shultis Faw'!$B$2:$B$26,MATCH($C223,'Shultis Faw'!$A$2:$A$26,1)))/(INDEX('Shultis Faw'!$A$2:$A$26,MATCH($C223,'Shultis Faw'!$A$2:$A$26,1)+1)-INDEX('Shultis Faw'!$A$2:$A$26,MATCH($C223,'Shultis Faw'!$A$2:$A$26,1))),$C223*'Shultis Faw'!$B$2/'Shultis Faw'!$A$2)</f>
        <v>-7.0847764000000008E-2</v>
      </c>
      <c r="L223" s="83">
        <f>_xlfn.IFNA(INDEX('Shultis Faw'!$E$2:$E$26,MATCH($C223,'Shultis Faw'!$A$2:$A$26,1))+($C223-INDEX('Shultis Faw'!$A$2:$A$26,MATCH($C223,'Shultis Faw'!$A$2:$A$26,1)))*(INDEX('Shultis Faw'!$E$2:$E$26,MATCH($C223,'Shultis Faw'!$A$2:$A$26,1)+1)-INDEX('Shultis Faw'!$E$2:$E$26,MATCH($C223,'Shultis Faw'!$A$2:$A$26,1)))/(INDEX('Shultis Faw'!$A$2:$A$26,MATCH($C223,'Shultis Faw'!$A$2:$A$26,1)+1)-INDEX('Shultis Faw'!$A$2:$A$26,MATCH($C223,'Shultis Faw'!$A$2:$A$26,1))),$C223*'Shultis Faw'!$E$2/'Shultis Faw'!$A$2)</f>
        <v>3.0070660800000003E-2</v>
      </c>
      <c r="M223" s="83">
        <f>_xlfn.IFNA(INDEX('Shultis Faw'!$F$2:$F$26,MATCH($C223,'Shultis Faw'!$A$2:$A$26,1))+($C223-INDEX('Shultis Faw'!$A$2:$A$26,MATCH($C223,'Shultis Faw'!$A$2:$A$26,1)))*(INDEX('Shultis Faw'!$F$2:$F$26,MATCH($C223,'Shultis Faw'!$A$2:$A$26,1)+1)-INDEX('Shultis Faw'!$F$2:$F$26,MATCH($C223,'Shultis Faw'!$A$2:$A$26,1)))/(INDEX('Shultis Faw'!$A$2:$A$26,MATCH($C223,'Shultis Faw'!$A$2:$A$26,1)+1)-INDEX('Shultis Faw'!$A$2:$A$26,MATCH($C223,'Shultis Faw'!$A$2:$A$26,1))),$C223*'Shultis Faw'!$F$2/'Shultis Faw'!$A$2)</f>
        <v>14.395666800000001</v>
      </c>
      <c r="N223" s="83">
        <f>J223*(H223*'Externe blootstelling'!$D$23/2)^K223+L223*(TANH(((H223*'Externe blootstelling'!$D$23)/(2*M223))-2)-TANH(-2))/(1-TANH(-2))</f>
        <v>1.3471605618964786</v>
      </c>
      <c r="O223" s="83">
        <f>IF(N223=1,1+(I223-1)*H223*'Externe blootstelling'!$D$23/2,1+(I223-1)*(N223^(H223*'Externe blootstelling'!$D$23/2)-1)/(N223-1))</f>
        <v>1.9274926000004702</v>
      </c>
      <c r="P223" s="67">
        <f>G223*EXP(-H223*'Externe blootstelling'!$D$23/2)*O223</f>
        <v>4.3016322386351799E-3</v>
      </c>
      <c r="Q223" s="68"/>
    </row>
    <row r="224" spans="1:17" x14ac:dyDescent="0.2">
      <c r="A224" s="217"/>
      <c r="B224" s="64" t="s">
        <v>104</v>
      </c>
      <c r="C224" s="66">
        <v>1.299142</v>
      </c>
      <c r="D224" s="66">
        <f t="shared" si="14"/>
        <v>2.0786272E-13</v>
      </c>
      <c r="E224" s="66">
        <v>1.6330000000000001E-2</v>
      </c>
      <c r="F224" s="66">
        <f>_xlfn.IFNA(INDEX('hp (pSv cm2)'!$B$2:$B$52,MATCH($C224,'hp (pSv cm2)'!$A$2:$A$52,1))+($C224-INDEX('hp (pSv cm2)'!$A$2:$A$52,MATCH($C224,'hp (pSv cm2)'!$A$2:$A$52,1)))*(INDEX('hp (pSv cm2)'!$B$2:$B$52,MATCH($C224,'hp (pSv cm2)'!$A$2:$A$52,1)+1)-INDEX('hp (pSv cm2)'!$B$2:$B$52,MATCH($C224,'hp (pSv cm2)'!$A$2:$A$52,1)))/(INDEX('hp (pSv cm2)'!$A$2:$A$52,MATCH($C224,'hp (pSv cm2)'!$A$2:$A$52,1)+1)-INDEX('hp (pSv cm2)'!$A$2:$A$52,MATCH($C224,'hp (pSv cm2)'!$A$2:$A$52,1))),$C224*'hp (pSv cm2)'!$B$2/'hp (pSv cm2)'!$A$2)</f>
        <v>5.4652029200000003</v>
      </c>
      <c r="G224" s="67">
        <f t="shared" si="15"/>
        <v>8.9246763683600003E-2</v>
      </c>
      <c r="H224" s="83">
        <f>_xlfn.IFNA(0.997*(INDEX('Mass attenuation coefficients'!$B$2:$B$37,MATCH($C224,'Mass attenuation coefficients'!$A$2:$A$37,1))+($C224-INDEX('Mass attenuation coefficients'!$A$2:$A$37,MATCH($C224,'Mass attenuation coefficients'!$A$2:$A$37,1)))*(INDEX('Mass attenuation coefficients'!$B$2:$B$37,MATCH($C224,'Mass attenuation coefficients'!$A$2:$A$37,1)+1)-INDEX('Mass attenuation coefficients'!$B$2:$B$37,MATCH($C224,'Mass attenuation coefficients'!$A$2:$A$37,1)))/(INDEX('Mass attenuation coefficients'!$A$2:$A$37,MATCH($C224,'Mass attenuation coefficients'!$A$2:$A$37,1)+1)-INDEX('Mass attenuation coefficients'!$A$2:$A$37,MATCH($C224,'Mass attenuation coefficients'!$A$2:$A$37,1)))),0.997*$C224*'Mass attenuation coefficients'!$B$2/'Mass attenuation coefficients'!$A$2)</f>
        <v>6.1925193495759992E-2</v>
      </c>
      <c r="I224" s="83">
        <f>_xlfn.IFNA(INDEX('Shultis Faw'!$C$2:$C$26,MATCH($C224,'Shultis Faw'!$A$2:$A$26,1))+($C224-INDEX('Shultis Faw'!$A$2:$A$26,MATCH($C224,'Shultis Faw'!$A$2:$A$26,1)))*(INDEX('Shultis Faw'!$C$2:$C$26,MATCH($C224,'Shultis Faw'!$A$2:$A$26,1)+1)-INDEX('Shultis Faw'!$C$2:$C$26,MATCH($C224,'Shultis Faw'!$A$2:$A$26,1)))/(INDEX('Shultis Faw'!$A$2:$A$26,MATCH($C224,'Shultis Faw'!$A$2:$A$26,1)+1)-INDEX('Shultis Faw'!$A$2:$A$26,MATCH($C224,'Shultis Faw'!$A$2:$A$26,1))),$C224*'Shultis Faw'!$C$2/'Shultis Faw'!$A$2)</f>
        <v>2.0048814240000001</v>
      </c>
      <c r="J224" s="83">
        <f>_xlfn.IFNA(INDEX('Shultis Faw'!$D$2:$D$26,MATCH($C224,'Shultis Faw'!$A$2:$A$26,1))+($C224-INDEX('Shultis Faw'!$A$2:$A$26,MATCH($C224,'Shultis Faw'!$A$2:$A$26,1)))*(INDEX('Shultis Faw'!$D$2:$D$26,MATCH($C224,'Shultis Faw'!$A$2:$A$26,1)+1)-INDEX('Shultis Faw'!$D$2:$D$26,MATCH($C224,'Shultis Faw'!$A$2:$A$26,1)))/(INDEX('Shultis Faw'!$A$2:$A$26,MATCH($C224,'Shultis Faw'!$A$2:$A$26,1)+1)-INDEX('Shultis Faw'!$A$2:$A$26,MATCH($C224,'Shultis Faw'!$A$2:$A$26,1))),$C224*'Shultis Faw'!$D$2/'Shultis Faw'!$A$2)</f>
        <v>1.338095152</v>
      </c>
      <c r="K224" s="83">
        <f>_xlfn.IFNA(INDEX('Shultis Faw'!$B$2:$B$26,MATCH($C224,'Shultis Faw'!$A$2:$A$26,1))+($C224-INDEX('Shultis Faw'!$A$2:$A$26,MATCH($C224,'Shultis Faw'!$A$2:$A$26,1)))*(INDEX('Shultis Faw'!$B$2:$B$26,MATCH($C224,'Shultis Faw'!$A$2:$A$26,1)+1)-INDEX('Shultis Faw'!$B$2:$B$26,MATCH($C224,'Shultis Faw'!$A$2:$A$26,1)))/(INDEX('Shultis Faw'!$A$2:$A$26,MATCH($C224,'Shultis Faw'!$A$2:$A$26,1)+1)-INDEX('Shultis Faw'!$A$2:$A$26,MATCH($C224,'Shultis Faw'!$A$2:$A$26,1))),$C224*'Shultis Faw'!$B$2/'Shultis Faw'!$A$2)</f>
        <v>-7.0453195999999996E-2</v>
      </c>
      <c r="L224" s="83">
        <f>_xlfn.IFNA(INDEX('Shultis Faw'!$E$2:$E$26,MATCH($C224,'Shultis Faw'!$A$2:$A$26,1))+($C224-INDEX('Shultis Faw'!$A$2:$A$26,MATCH($C224,'Shultis Faw'!$A$2:$A$26,1)))*(INDEX('Shultis Faw'!$E$2:$E$26,MATCH($C224,'Shultis Faw'!$A$2:$A$26,1)+1)-INDEX('Shultis Faw'!$E$2:$E$26,MATCH($C224,'Shultis Faw'!$A$2:$A$26,1)))/(INDEX('Shultis Faw'!$A$2:$A$26,MATCH($C224,'Shultis Faw'!$A$2:$A$26,1)+1)-INDEX('Shultis Faw'!$A$2:$A$26,MATCH($C224,'Shultis Faw'!$A$2:$A$26,1))),$C224*'Shultis Faw'!$E$2/'Shultis Faw'!$A$2)</f>
        <v>2.9902651199999998E-2</v>
      </c>
      <c r="M224" s="83">
        <f>_xlfn.IFNA(INDEX('Shultis Faw'!$F$2:$F$26,MATCH($C224,'Shultis Faw'!$A$2:$A$26,1))+($C224-INDEX('Shultis Faw'!$A$2:$A$26,MATCH($C224,'Shultis Faw'!$A$2:$A$26,1)))*(INDEX('Shultis Faw'!$F$2:$F$26,MATCH($C224,'Shultis Faw'!$A$2:$A$26,1)+1)-INDEX('Shultis Faw'!$F$2:$F$26,MATCH($C224,'Shultis Faw'!$A$2:$A$26,1)))/(INDEX('Shultis Faw'!$A$2:$A$26,MATCH($C224,'Shultis Faw'!$A$2:$A$26,1)+1)-INDEX('Shultis Faw'!$A$2:$A$26,MATCH($C224,'Shultis Faw'!$A$2:$A$26,1))),$C224*'Shultis Faw'!$F$2/'Shultis Faw'!$A$2)</f>
        <v>14.399485200000001</v>
      </c>
      <c r="N224" s="83">
        <f>J224*(H224*'Externe blootstelling'!$D$23/2)^K224+L224*(TANH(((H224*'Externe blootstelling'!$D$23)/(2*M224))-2)-TANH(-2))/(1-TANH(-2))</f>
        <v>1.3451424180346392</v>
      </c>
      <c r="O224" s="83">
        <f>IF(N224=1,1+(I224-1)*H224*'Externe blootstelling'!$D$23/2,1+(I224-1)*(N224^(H224*'Externe blootstelling'!$D$23/2)-1)/(N224-1))</f>
        <v>1.9231587138486681</v>
      </c>
      <c r="P224" s="67">
        <f>G224*EXP(-H224*'Externe blootstelling'!$D$23/2)*O224</f>
        <v>6.7795529352679837E-2</v>
      </c>
      <c r="Q224" s="68"/>
    </row>
    <row r="225" spans="1:17" x14ac:dyDescent="0.2">
      <c r="A225" s="217"/>
      <c r="B225" s="64" t="s">
        <v>104</v>
      </c>
      <c r="C225" s="66">
        <v>1.3147</v>
      </c>
      <c r="D225" s="66">
        <f t="shared" si="14"/>
        <v>2.10352E-13</v>
      </c>
      <c r="E225" s="66">
        <v>4.7999999999999994E-5</v>
      </c>
      <c r="F225" s="66">
        <f>_xlfn.IFNA(INDEX('hp (pSv cm2)'!$B$2:$B$52,MATCH($C225,'hp (pSv cm2)'!$A$2:$A$52,1))+($C225-INDEX('hp (pSv cm2)'!$A$2:$A$52,MATCH($C225,'hp (pSv cm2)'!$A$2:$A$52,1)))*(INDEX('hp (pSv cm2)'!$B$2:$B$52,MATCH($C225,'hp (pSv cm2)'!$A$2:$A$52,1)+1)-INDEX('hp (pSv cm2)'!$B$2:$B$52,MATCH($C225,'hp (pSv cm2)'!$A$2:$A$52,1)))/(INDEX('hp (pSv cm2)'!$A$2:$A$52,MATCH($C225,'hp (pSv cm2)'!$A$2:$A$52,1)+1)-INDEX('hp (pSv cm2)'!$A$2:$A$52,MATCH($C225,'hp (pSv cm2)'!$A$2:$A$52,1))),$C225*'hp (pSv cm2)'!$B$2/'hp (pSv cm2)'!$A$2)</f>
        <v>5.5159219999999998</v>
      </c>
      <c r="G225" s="67">
        <f t="shared" si="15"/>
        <v>2.6476425599999997E-4</v>
      </c>
      <c r="H225" s="83">
        <f>_xlfn.IFNA(0.997*(INDEX('Mass attenuation coefficients'!$B$2:$B$37,MATCH($C225,'Mass attenuation coefficients'!$A$2:$A$37,1))+($C225-INDEX('Mass attenuation coefficients'!$A$2:$A$37,MATCH($C225,'Mass attenuation coefficients'!$A$2:$A$37,1)))*(INDEX('Mass attenuation coefficients'!$B$2:$B$37,MATCH($C225,'Mass attenuation coefficients'!$A$2:$A$37,1)+1)-INDEX('Mass attenuation coefficients'!$B$2:$B$37,MATCH($C225,'Mass attenuation coefficients'!$A$2:$A$37,1)))/(INDEX('Mass attenuation coefficients'!$A$2:$A$37,MATCH($C225,'Mass attenuation coefficients'!$A$2:$A$37,1)+1)-INDEX('Mass attenuation coefficients'!$A$2:$A$37,MATCH($C225,'Mass attenuation coefficients'!$A$2:$A$37,1)))),0.997*$C225*'Mass attenuation coefficients'!$B$2/'Mass attenuation coefficients'!$A$2)</f>
        <v>6.1572155715999999E-2</v>
      </c>
      <c r="I225" s="83">
        <f>_xlfn.IFNA(INDEX('Shultis Faw'!$C$2:$C$26,MATCH($C225,'Shultis Faw'!$A$2:$A$26,1))+($C225-INDEX('Shultis Faw'!$A$2:$A$26,MATCH($C225,'Shultis Faw'!$A$2:$A$26,1)))*(INDEX('Shultis Faw'!$C$2:$C$26,MATCH($C225,'Shultis Faw'!$A$2:$A$26,1)+1)-INDEX('Shultis Faw'!$C$2:$C$26,MATCH($C225,'Shultis Faw'!$A$2:$A$26,1)))/(INDEX('Shultis Faw'!$A$2:$A$26,MATCH($C225,'Shultis Faw'!$A$2:$A$26,1)+1)-INDEX('Shultis Faw'!$A$2:$A$26,MATCH($C225,'Shultis Faw'!$A$2:$A$26,1))),$C225*'Shultis Faw'!$C$2/'Shultis Faw'!$A$2)</f>
        <v>1.9997784000000001</v>
      </c>
      <c r="J225" s="83">
        <f>_xlfn.IFNA(INDEX('Shultis Faw'!$D$2:$D$26,MATCH($C225,'Shultis Faw'!$A$2:$A$26,1))+($C225-INDEX('Shultis Faw'!$A$2:$A$26,MATCH($C225,'Shultis Faw'!$A$2:$A$26,1)))*(INDEX('Shultis Faw'!$D$2:$D$26,MATCH($C225,'Shultis Faw'!$A$2:$A$26,1)+1)-INDEX('Shultis Faw'!$D$2:$D$26,MATCH($C225,'Shultis Faw'!$A$2:$A$26,1)))/(INDEX('Shultis Faw'!$A$2:$A$26,MATCH($C225,'Shultis Faw'!$A$2:$A$26,1)+1)-INDEX('Shultis Faw'!$A$2:$A$26,MATCH($C225,'Shultis Faw'!$A$2:$A$26,1))),$C225*'Shultis Faw'!$D$2/'Shultis Faw'!$A$2)</f>
        <v>1.3327431999999999</v>
      </c>
      <c r="K225" s="83">
        <f>_xlfn.IFNA(INDEX('Shultis Faw'!$B$2:$B$26,MATCH($C225,'Shultis Faw'!$A$2:$A$26,1))+($C225-INDEX('Shultis Faw'!$A$2:$A$26,MATCH($C225,'Shultis Faw'!$A$2:$A$26,1)))*(INDEX('Shultis Faw'!$B$2:$B$26,MATCH($C225,'Shultis Faw'!$A$2:$A$26,1)+1)-INDEX('Shultis Faw'!$B$2:$B$26,MATCH($C225,'Shultis Faw'!$A$2:$A$26,1)))/(INDEX('Shultis Faw'!$A$2:$A$26,MATCH($C225,'Shultis Faw'!$A$2:$A$26,1)+1)-INDEX('Shultis Faw'!$A$2:$A$26,MATCH($C225,'Shultis Faw'!$A$2:$A$26,1))),$C225*'Shultis Faw'!$B$2/'Shultis Faw'!$A$2)</f>
        <v>-6.9488599999999998E-2</v>
      </c>
      <c r="L225" s="83">
        <f>_xlfn.IFNA(INDEX('Shultis Faw'!$E$2:$E$26,MATCH($C225,'Shultis Faw'!$A$2:$A$26,1))+($C225-INDEX('Shultis Faw'!$A$2:$A$26,MATCH($C225,'Shultis Faw'!$A$2:$A$26,1)))*(INDEX('Shultis Faw'!$E$2:$E$26,MATCH($C225,'Shultis Faw'!$A$2:$A$26,1)+1)-INDEX('Shultis Faw'!$E$2:$E$26,MATCH($C225,'Shultis Faw'!$A$2:$A$26,1)))/(INDEX('Shultis Faw'!$A$2:$A$26,MATCH($C225,'Shultis Faw'!$A$2:$A$26,1)+1)-INDEX('Shultis Faw'!$A$2:$A$26,MATCH($C225,'Shultis Faw'!$A$2:$A$26,1))),$C225*'Shultis Faw'!$E$2/'Shultis Faw'!$A$2)</f>
        <v>2.9491920000000001E-2</v>
      </c>
      <c r="M225" s="83">
        <f>_xlfn.IFNA(INDEX('Shultis Faw'!$F$2:$F$26,MATCH($C225,'Shultis Faw'!$A$2:$A$26,1))+($C225-INDEX('Shultis Faw'!$A$2:$A$26,MATCH($C225,'Shultis Faw'!$A$2:$A$26,1)))*(INDEX('Shultis Faw'!$F$2:$F$26,MATCH($C225,'Shultis Faw'!$A$2:$A$26,1)+1)-INDEX('Shultis Faw'!$F$2:$F$26,MATCH($C225,'Shultis Faw'!$A$2:$A$26,1)))/(INDEX('Shultis Faw'!$A$2:$A$26,MATCH($C225,'Shultis Faw'!$A$2:$A$26,1)+1)-INDEX('Shultis Faw'!$A$2:$A$26,MATCH($C225,'Shultis Faw'!$A$2:$A$26,1))),$C225*'Shultis Faw'!$F$2/'Shultis Faw'!$A$2)</f>
        <v>14.40882</v>
      </c>
      <c r="N225" s="83">
        <f>J225*(H225*'Externe blootstelling'!$D$23/2)^K225+L225*(TANH(((H225*'Externe blootstelling'!$D$23)/(2*M225))-2)-TANH(-2))/(1-TANH(-2))</f>
        <v>1.3401980452854023</v>
      </c>
      <c r="O225" s="83">
        <f>IF(N225=1,1+(I225-1)*H225*'Externe blootstelling'!$D$23/2,1+(I225-1)*(N225^(H225*'Externe blootstelling'!$D$23/2)-1)/(N225-1))</f>
        <v>1.9126255417821652</v>
      </c>
      <c r="P225" s="67">
        <f>G225*EXP(-H225*'Externe blootstelling'!$D$23/2)*O225</f>
        <v>2.0108635077353495E-4</v>
      </c>
      <c r="Q225" s="68"/>
    </row>
    <row r="226" spans="1:17" x14ac:dyDescent="0.2">
      <c r="A226" s="217"/>
      <c r="B226" s="64" t="s">
        <v>104</v>
      </c>
      <c r="C226" s="66">
        <v>1.3480999999999999</v>
      </c>
      <c r="D226" s="66">
        <f t="shared" si="14"/>
        <v>2.1569599999999994E-13</v>
      </c>
      <c r="E226" s="66">
        <v>1.7500000000000003E-4</v>
      </c>
      <c r="F226" s="66">
        <f>_xlfn.IFNA(INDEX('hp (pSv cm2)'!$B$2:$B$52,MATCH($C226,'hp (pSv cm2)'!$A$2:$A$52,1))+($C226-INDEX('hp (pSv cm2)'!$A$2:$A$52,MATCH($C226,'hp (pSv cm2)'!$A$2:$A$52,1)))*(INDEX('hp (pSv cm2)'!$B$2:$B$52,MATCH($C226,'hp (pSv cm2)'!$A$2:$A$52,1)+1)-INDEX('hp (pSv cm2)'!$B$2:$B$52,MATCH($C226,'hp (pSv cm2)'!$A$2:$A$52,1)))/(INDEX('hp (pSv cm2)'!$A$2:$A$52,MATCH($C226,'hp (pSv cm2)'!$A$2:$A$52,1)+1)-INDEX('hp (pSv cm2)'!$A$2:$A$52,MATCH($C226,'hp (pSv cm2)'!$A$2:$A$52,1))),$C226*'hp (pSv cm2)'!$B$2/'hp (pSv cm2)'!$A$2)</f>
        <v>5.6248059999999995</v>
      </c>
      <c r="G226" s="67">
        <f t="shared" si="15"/>
        <v>9.8434105000000014E-4</v>
      </c>
      <c r="H226" s="83">
        <f>_xlfn.IFNA(0.997*(INDEX('Mass attenuation coefficients'!$B$2:$B$37,MATCH($C226,'Mass attenuation coefficients'!$A$2:$A$37,1))+($C226-INDEX('Mass attenuation coefficients'!$A$2:$A$37,MATCH($C226,'Mass attenuation coefficients'!$A$2:$A$37,1)))*(INDEX('Mass attenuation coefficients'!$B$2:$B$37,MATCH($C226,'Mass attenuation coefficients'!$A$2:$A$37,1)+1)-INDEX('Mass attenuation coefficients'!$B$2:$B$37,MATCH($C226,'Mass attenuation coefficients'!$A$2:$A$37,1)))/(INDEX('Mass attenuation coefficients'!$A$2:$A$37,MATCH($C226,'Mass attenuation coefficients'!$A$2:$A$37,1)+1)-INDEX('Mass attenuation coefficients'!$A$2:$A$37,MATCH($C226,'Mass attenuation coefficients'!$A$2:$A$37,1)))),0.997*$C226*'Mass attenuation coefficients'!$B$2/'Mass attenuation coefficients'!$A$2)</f>
        <v>6.0814252267999996E-2</v>
      </c>
      <c r="I226" s="83">
        <f>_xlfn.IFNA(INDEX('Shultis Faw'!$C$2:$C$26,MATCH($C226,'Shultis Faw'!$A$2:$A$26,1))+($C226-INDEX('Shultis Faw'!$A$2:$A$26,MATCH($C226,'Shultis Faw'!$A$2:$A$26,1)))*(INDEX('Shultis Faw'!$C$2:$C$26,MATCH($C226,'Shultis Faw'!$A$2:$A$26,1)+1)-INDEX('Shultis Faw'!$C$2:$C$26,MATCH($C226,'Shultis Faw'!$A$2:$A$26,1)))/(INDEX('Shultis Faw'!$A$2:$A$26,MATCH($C226,'Shultis Faw'!$A$2:$A$26,1)+1)-INDEX('Shultis Faw'!$A$2:$A$26,MATCH($C226,'Shultis Faw'!$A$2:$A$26,1))),$C226*'Shultis Faw'!$C$2/'Shultis Faw'!$A$2)</f>
        <v>1.9888232000000001</v>
      </c>
      <c r="J226" s="83">
        <f>_xlfn.IFNA(INDEX('Shultis Faw'!$D$2:$D$26,MATCH($C226,'Shultis Faw'!$A$2:$A$26,1))+($C226-INDEX('Shultis Faw'!$A$2:$A$26,MATCH($C226,'Shultis Faw'!$A$2:$A$26,1)))*(INDEX('Shultis Faw'!$D$2:$D$26,MATCH($C226,'Shultis Faw'!$A$2:$A$26,1)+1)-INDEX('Shultis Faw'!$D$2:$D$26,MATCH($C226,'Shultis Faw'!$A$2:$A$26,1)))/(INDEX('Shultis Faw'!$A$2:$A$26,MATCH($C226,'Shultis Faw'!$A$2:$A$26,1)+1)-INDEX('Shultis Faw'!$A$2:$A$26,MATCH($C226,'Shultis Faw'!$A$2:$A$26,1))),$C226*'Shultis Faw'!$D$2/'Shultis Faw'!$A$2)</f>
        <v>1.3212535999999999</v>
      </c>
      <c r="K226" s="83">
        <f>_xlfn.IFNA(INDEX('Shultis Faw'!$B$2:$B$26,MATCH($C226,'Shultis Faw'!$A$2:$A$26,1))+($C226-INDEX('Shultis Faw'!$A$2:$A$26,MATCH($C226,'Shultis Faw'!$A$2:$A$26,1)))*(INDEX('Shultis Faw'!$B$2:$B$26,MATCH($C226,'Shultis Faw'!$A$2:$A$26,1)+1)-INDEX('Shultis Faw'!$B$2:$B$26,MATCH($C226,'Shultis Faw'!$A$2:$A$26,1)))/(INDEX('Shultis Faw'!$A$2:$A$26,MATCH($C226,'Shultis Faw'!$A$2:$A$26,1)+1)-INDEX('Shultis Faw'!$A$2:$A$26,MATCH($C226,'Shultis Faw'!$A$2:$A$26,1))),$C226*'Shultis Faw'!$B$2/'Shultis Faw'!$A$2)</f>
        <v>-6.7417800000000014E-2</v>
      </c>
      <c r="L226" s="83">
        <f>_xlfn.IFNA(INDEX('Shultis Faw'!$E$2:$E$26,MATCH($C226,'Shultis Faw'!$A$2:$A$26,1))+($C226-INDEX('Shultis Faw'!$A$2:$A$26,MATCH($C226,'Shultis Faw'!$A$2:$A$26,1)))*(INDEX('Shultis Faw'!$E$2:$E$26,MATCH($C226,'Shultis Faw'!$A$2:$A$26,1)+1)-INDEX('Shultis Faw'!$E$2:$E$26,MATCH($C226,'Shultis Faw'!$A$2:$A$26,1)))/(INDEX('Shultis Faw'!$A$2:$A$26,MATCH($C226,'Shultis Faw'!$A$2:$A$26,1)+1)-INDEX('Shultis Faw'!$A$2:$A$26,MATCH($C226,'Shultis Faw'!$A$2:$A$26,1))),$C226*'Shultis Faw'!$E$2/'Shultis Faw'!$A$2)</f>
        <v>2.8610160000000003E-2</v>
      </c>
      <c r="M226" s="83">
        <f>_xlfn.IFNA(INDEX('Shultis Faw'!$F$2:$F$26,MATCH($C226,'Shultis Faw'!$A$2:$A$26,1))+($C226-INDEX('Shultis Faw'!$A$2:$A$26,MATCH($C226,'Shultis Faw'!$A$2:$A$26,1)))*(INDEX('Shultis Faw'!$F$2:$F$26,MATCH($C226,'Shultis Faw'!$A$2:$A$26,1)+1)-INDEX('Shultis Faw'!$F$2:$F$26,MATCH($C226,'Shultis Faw'!$A$2:$A$26,1)))/(INDEX('Shultis Faw'!$A$2:$A$26,MATCH($C226,'Shultis Faw'!$A$2:$A$26,1)+1)-INDEX('Shultis Faw'!$A$2:$A$26,MATCH($C226,'Shultis Faw'!$A$2:$A$26,1))),$C226*'Shultis Faw'!$F$2/'Shultis Faw'!$A$2)</f>
        <v>14.42886</v>
      </c>
      <c r="N226" s="83">
        <f>J226*(H226*'Externe blootstelling'!$D$23/2)^K226+L226*(TANH(((H226*'Externe blootstelling'!$D$23)/(2*M226))-2)-TANH(-2))/(1-TANH(-2))</f>
        <v>1.3295325764503474</v>
      </c>
      <c r="O226" s="83">
        <f>IF(N226=1,1+(I226-1)*H226*'Externe blootstelling'!$D$23/2,1+(I226-1)*(N226^(H226*'Externe blootstelling'!$D$23/2)-1)/(N226-1))</f>
        <v>1.8903066479542106</v>
      </c>
      <c r="P226" s="67">
        <f>G226*EXP(-H226*'Externe blootstelling'!$D$23/2)*O226</f>
        <v>7.4732316746601343E-4</v>
      </c>
      <c r="Q226" s="68"/>
    </row>
    <row r="227" spans="1:17" x14ac:dyDescent="0.2">
      <c r="A227" s="217"/>
      <c r="B227" s="64" t="s">
        <v>104</v>
      </c>
      <c r="C227" s="66">
        <v>1.3637699999999999</v>
      </c>
      <c r="D227" s="66">
        <f t="shared" si="14"/>
        <v>2.182032E-13</v>
      </c>
      <c r="E227" s="66">
        <v>2.5599999999999999E-4</v>
      </c>
      <c r="F227" s="66">
        <f>_xlfn.IFNA(INDEX('hp (pSv cm2)'!$B$2:$B$52,MATCH($C227,'hp (pSv cm2)'!$A$2:$A$52,1))+($C227-INDEX('hp (pSv cm2)'!$A$2:$A$52,MATCH($C227,'hp (pSv cm2)'!$A$2:$A$52,1)))*(INDEX('hp (pSv cm2)'!$B$2:$B$52,MATCH($C227,'hp (pSv cm2)'!$A$2:$A$52,1)+1)-INDEX('hp (pSv cm2)'!$B$2:$B$52,MATCH($C227,'hp (pSv cm2)'!$A$2:$A$52,1)))/(INDEX('hp (pSv cm2)'!$A$2:$A$52,MATCH($C227,'hp (pSv cm2)'!$A$2:$A$52,1)+1)-INDEX('hp (pSv cm2)'!$A$2:$A$52,MATCH($C227,'hp (pSv cm2)'!$A$2:$A$52,1))),$C227*'hp (pSv cm2)'!$B$2/'hp (pSv cm2)'!$A$2)</f>
        <v>5.6758901999999996</v>
      </c>
      <c r="G227" s="67">
        <f t="shared" si="15"/>
        <v>1.4530278911999998E-3</v>
      </c>
      <c r="H227" s="83">
        <f>_xlfn.IFNA(0.997*(INDEX('Mass attenuation coefficients'!$B$2:$B$37,MATCH($C227,'Mass attenuation coefficients'!$A$2:$A$37,1))+($C227-INDEX('Mass attenuation coefficients'!$A$2:$A$37,MATCH($C227,'Mass attenuation coefficients'!$A$2:$A$37,1)))*(INDEX('Mass attenuation coefficients'!$B$2:$B$37,MATCH($C227,'Mass attenuation coefficients'!$A$2:$A$37,1)+1)-INDEX('Mass attenuation coefficients'!$B$2:$B$37,MATCH($C227,'Mass attenuation coefficients'!$A$2:$A$37,1)))/(INDEX('Mass attenuation coefficients'!$A$2:$A$37,MATCH($C227,'Mass attenuation coefficients'!$A$2:$A$37,1)+1)-INDEX('Mass attenuation coefficients'!$A$2:$A$37,MATCH($C227,'Mass attenuation coefficients'!$A$2:$A$37,1)))),0.997*$C227*'Mass attenuation coefficients'!$B$2/'Mass attenuation coefficients'!$A$2)</f>
        <v>6.0458673015599998E-2</v>
      </c>
      <c r="I227" s="83">
        <f>_xlfn.IFNA(INDEX('Shultis Faw'!$C$2:$C$26,MATCH($C227,'Shultis Faw'!$A$2:$A$26,1))+($C227-INDEX('Shultis Faw'!$A$2:$A$26,MATCH($C227,'Shultis Faw'!$A$2:$A$26,1)))*(INDEX('Shultis Faw'!$C$2:$C$26,MATCH($C227,'Shultis Faw'!$A$2:$A$26,1)+1)-INDEX('Shultis Faw'!$C$2:$C$26,MATCH($C227,'Shultis Faw'!$A$2:$A$26,1)))/(INDEX('Shultis Faw'!$A$2:$A$26,MATCH($C227,'Shultis Faw'!$A$2:$A$26,1)+1)-INDEX('Shultis Faw'!$A$2:$A$26,MATCH($C227,'Shultis Faw'!$A$2:$A$26,1))),$C227*'Shultis Faw'!$C$2/'Shultis Faw'!$A$2)</f>
        <v>1.9836834400000001</v>
      </c>
      <c r="J227" s="83">
        <f>_xlfn.IFNA(INDEX('Shultis Faw'!$D$2:$D$26,MATCH($C227,'Shultis Faw'!$A$2:$A$26,1))+($C227-INDEX('Shultis Faw'!$A$2:$A$26,MATCH($C227,'Shultis Faw'!$A$2:$A$26,1)))*(INDEX('Shultis Faw'!$D$2:$D$26,MATCH($C227,'Shultis Faw'!$A$2:$A$26,1)+1)-INDEX('Shultis Faw'!$D$2:$D$26,MATCH($C227,'Shultis Faw'!$A$2:$A$26,1)))/(INDEX('Shultis Faw'!$A$2:$A$26,MATCH($C227,'Shultis Faw'!$A$2:$A$26,1)+1)-INDEX('Shultis Faw'!$A$2:$A$26,MATCH($C227,'Shultis Faw'!$A$2:$A$26,1))),$C227*'Shultis Faw'!$D$2/'Shultis Faw'!$A$2)</f>
        <v>1.3158631199999999</v>
      </c>
      <c r="K227" s="83">
        <f>_xlfn.IFNA(INDEX('Shultis Faw'!$B$2:$B$26,MATCH($C227,'Shultis Faw'!$A$2:$A$26,1))+($C227-INDEX('Shultis Faw'!$A$2:$A$26,MATCH($C227,'Shultis Faw'!$A$2:$A$26,1)))*(INDEX('Shultis Faw'!$B$2:$B$26,MATCH($C227,'Shultis Faw'!$A$2:$A$26,1)+1)-INDEX('Shultis Faw'!$B$2:$B$26,MATCH($C227,'Shultis Faw'!$A$2:$A$26,1)))/(INDEX('Shultis Faw'!$A$2:$A$26,MATCH($C227,'Shultis Faw'!$A$2:$A$26,1)+1)-INDEX('Shultis Faw'!$A$2:$A$26,MATCH($C227,'Shultis Faw'!$A$2:$A$26,1))),$C227*'Shultis Faw'!$B$2/'Shultis Faw'!$A$2)</f>
        <v>-6.6446260000000007E-2</v>
      </c>
      <c r="L227" s="83">
        <f>_xlfn.IFNA(INDEX('Shultis Faw'!$E$2:$E$26,MATCH($C227,'Shultis Faw'!$A$2:$A$26,1))+($C227-INDEX('Shultis Faw'!$A$2:$A$26,MATCH($C227,'Shultis Faw'!$A$2:$A$26,1)))*(INDEX('Shultis Faw'!$E$2:$E$26,MATCH($C227,'Shultis Faw'!$A$2:$A$26,1)+1)-INDEX('Shultis Faw'!$E$2:$E$26,MATCH($C227,'Shultis Faw'!$A$2:$A$26,1)))/(INDEX('Shultis Faw'!$A$2:$A$26,MATCH($C227,'Shultis Faw'!$A$2:$A$26,1)+1)-INDEX('Shultis Faw'!$A$2:$A$26,MATCH($C227,'Shultis Faw'!$A$2:$A$26,1))),$C227*'Shultis Faw'!$E$2/'Shultis Faw'!$A$2)</f>
        <v>2.8196472E-2</v>
      </c>
      <c r="M227" s="83">
        <f>_xlfn.IFNA(INDEX('Shultis Faw'!$F$2:$F$26,MATCH($C227,'Shultis Faw'!$A$2:$A$26,1))+($C227-INDEX('Shultis Faw'!$A$2:$A$26,MATCH($C227,'Shultis Faw'!$A$2:$A$26,1)))*(INDEX('Shultis Faw'!$F$2:$F$26,MATCH($C227,'Shultis Faw'!$A$2:$A$26,1)+1)-INDEX('Shultis Faw'!$F$2:$F$26,MATCH($C227,'Shultis Faw'!$A$2:$A$26,1)))/(INDEX('Shultis Faw'!$A$2:$A$26,MATCH($C227,'Shultis Faw'!$A$2:$A$26,1)+1)-INDEX('Shultis Faw'!$A$2:$A$26,MATCH($C227,'Shultis Faw'!$A$2:$A$26,1))),$C227*'Shultis Faw'!$F$2/'Shultis Faw'!$A$2)</f>
        <v>14.438262</v>
      </c>
      <c r="N227" s="83">
        <f>J227*(H227*'Externe blootstelling'!$D$23/2)^K227+L227*(TANH(((H227*'Externe blootstelling'!$D$23)/(2*M227))-2)-TANH(-2))/(1-TANH(-2))</f>
        <v>1.3245049110298797</v>
      </c>
      <c r="O227" s="83">
        <f>IF(N227=1,1+(I227-1)*H227*'Externe blootstelling'!$D$23/2,1+(I227-1)*(N227^(H227*'Externe blootstelling'!$D$23/2)-1)/(N227-1))</f>
        <v>1.8799721698107625</v>
      </c>
      <c r="P227" s="67">
        <f>G227*EXP(-H227*'Externe blootstelling'!$D$23/2)*O227</f>
        <v>1.1029919679104558E-3</v>
      </c>
      <c r="Q227" s="68"/>
    </row>
    <row r="228" spans="1:17" x14ac:dyDescent="0.2">
      <c r="A228" s="217"/>
      <c r="B228" s="64" t="s">
        <v>104</v>
      </c>
      <c r="C228" s="66">
        <v>1.3903599999999998</v>
      </c>
      <c r="D228" s="66">
        <f t="shared" ref="D228:D238" si="16">C228*1000000*1.6E-19</f>
        <v>2.2245759999999995E-13</v>
      </c>
      <c r="E228" s="66">
        <v>4.7999999999999994E-5</v>
      </c>
      <c r="F228" s="66">
        <f>_xlfn.IFNA(INDEX('hp (pSv cm2)'!$B$2:$B$52,MATCH($C228,'hp (pSv cm2)'!$A$2:$A$52,1))+($C228-INDEX('hp (pSv cm2)'!$A$2:$A$52,MATCH($C228,'hp (pSv cm2)'!$A$2:$A$52,1)))*(INDEX('hp (pSv cm2)'!$B$2:$B$52,MATCH($C228,'hp (pSv cm2)'!$A$2:$A$52,1)+1)-INDEX('hp (pSv cm2)'!$B$2:$B$52,MATCH($C228,'hp (pSv cm2)'!$A$2:$A$52,1)))/(INDEX('hp (pSv cm2)'!$A$2:$A$52,MATCH($C228,'hp (pSv cm2)'!$A$2:$A$52,1)+1)-INDEX('hp (pSv cm2)'!$A$2:$A$52,MATCH($C228,'hp (pSv cm2)'!$A$2:$A$52,1))),$C228*'hp (pSv cm2)'!$B$2/'hp (pSv cm2)'!$A$2)</f>
        <v>5.7625735999999996</v>
      </c>
      <c r="G228" s="67">
        <f t="shared" ref="G228:G238" si="17">F228*E228</f>
        <v>2.7660353279999997E-4</v>
      </c>
      <c r="H228" s="83">
        <f>_xlfn.IFNA(0.997*(INDEX('Mass attenuation coefficients'!$B$2:$B$37,MATCH($C228,'Mass attenuation coefficients'!$A$2:$A$37,1))+($C228-INDEX('Mass attenuation coefficients'!$A$2:$A$37,MATCH($C228,'Mass attenuation coefficients'!$A$2:$A$37,1)))*(INDEX('Mass attenuation coefficients'!$B$2:$B$37,MATCH($C228,'Mass attenuation coefficients'!$A$2:$A$37,1)+1)-INDEX('Mass attenuation coefficients'!$B$2:$B$37,MATCH($C228,'Mass attenuation coefficients'!$A$2:$A$37,1)))/(INDEX('Mass attenuation coefficients'!$A$2:$A$37,MATCH($C228,'Mass attenuation coefficients'!$A$2:$A$37,1)+1)-INDEX('Mass attenuation coefficients'!$A$2:$A$37,MATCH($C228,'Mass attenuation coefficients'!$A$2:$A$37,1)))),0.997*$C228*'Mass attenuation coefficients'!$B$2/'Mass attenuation coefficients'!$A$2)</f>
        <v>5.9855300180800007E-2</v>
      </c>
      <c r="I228" s="83">
        <f>_xlfn.IFNA(INDEX('Shultis Faw'!$C$2:$C$26,MATCH($C228,'Shultis Faw'!$A$2:$A$26,1))+($C228-INDEX('Shultis Faw'!$A$2:$A$26,MATCH($C228,'Shultis Faw'!$A$2:$A$26,1)))*(INDEX('Shultis Faw'!$C$2:$C$26,MATCH($C228,'Shultis Faw'!$A$2:$A$26,1)+1)-INDEX('Shultis Faw'!$C$2:$C$26,MATCH($C228,'Shultis Faw'!$A$2:$A$26,1)))/(INDEX('Shultis Faw'!$A$2:$A$26,MATCH($C228,'Shultis Faw'!$A$2:$A$26,1)+1)-INDEX('Shultis Faw'!$A$2:$A$26,MATCH($C228,'Shultis Faw'!$A$2:$A$26,1))),$C228*'Shultis Faw'!$C$2/'Shultis Faw'!$A$2)</f>
        <v>1.9749619200000001</v>
      </c>
      <c r="J228" s="83">
        <f>_xlfn.IFNA(INDEX('Shultis Faw'!$D$2:$D$26,MATCH($C228,'Shultis Faw'!$A$2:$A$26,1))+($C228-INDEX('Shultis Faw'!$A$2:$A$26,MATCH($C228,'Shultis Faw'!$A$2:$A$26,1)))*(INDEX('Shultis Faw'!$D$2:$D$26,MATCH($C228,'Shultis Faw'!$A$2:$A$26,1)+1)-INDEX('Shultis Faw'!$D$2:$D$26,MATCH($C228,'Shultis Faw'!$A$2:$A$26,1)))/(INDEX('Shultis Faw'!$A$2:$A$26,MATCH($C228,'Shultis Faw'!$A$2:$A$26,1)+1)-INDEX('Shultis Faw'!$A$2:$A$26,MATCH($C228,'Shultis Faw'!$A$2:$A$26,1))),$C228*'Shultis Faw'!$D$2/'Shultis Faw'!$A$2)</f>
        <v>1.3067161600000001</v>
      </c>
      <c r="K228" s="83">
        <f>_xlfn.IFNA(INDEX('Shultis Faw'!$B$2:$B$26,MATCH($C228,'Shultis Faw'!$A$2:$A$26,1))+($C228-INDEX('Shultis Faw'!$A$2:$A$26,MATCH($C228,'Shultis Faw'!$A$2:$A$26,1)))*(INDEX('Shultis Faw'!$B$2:$B$26,MATCH($C228,'Shultis Faw'!$A$2:$A$26,1)+1)-INDEX('Shultis Faw'!$B$2:$B$26,MATCH($C228,'Shultis Faw'!$A$2:$A$26,1)))/(INDEX('Shultis Faw'!$A$2:$A$26,MATCH($C228,'Shultis Faw'!$A$2:$A$26,1)+1)-INDEX('Shultis Faw'!$A$2:$A$26,MATCH($C228,'Shultis Faw'!$A$2:$A$26,1))),$C228*'Shultis Faw'!$B$2/'Shultis Faw'!$A$2)</f>
        <v>-6.479768000000001E-2</v>
      </c>
      <c r="L228" s="83">
        <f>_xlfn.IFNA(INDEX('Shultis Faw'!$E$2:$E$26,MATCH($C228,'Shultis Faw'!$A$2:$A$26,1))+($C228-INDEX('Shultis Faw'!$A$2:$A$26,MATCH($C228,'Shultis Faw'!$A$2:$A$26,1)))*(INDEX('Shultis Faw'!$E$2:$E$26,MATCH($C228,'Shultis Faw'!$A$2:$A$26,1)+1)-INDEX('Shultis Faw'!$E$2:$E$26,MATCH($C228,'Shultis Faw'!$A$2:$A$26,1)))/(INDEX('Shultis Faw'!$A$2:$A$26,MATCH($C228,'Shultis Faw'!$A$2:$A$26,1)+1)-INDEX('Shultis Faw'!$A$2:$A$26,MATCH($C228,'Shultis Faw'!$A$2:$A$26,1))),$C228*'Shultis Faw'!$E$2/'Shultis Faw'!$A$2)</f>
        <v>2.7494496000000007E-2</v>
      </c>
      <c r="M228" s="83">
        <f>_xlfn.IFNA(INDEX('Shultis Faw'!$F$2:$F$26,MATCH($C228,'Shultis Faw'!$A$2:$A$26,1))+($C228-INDEX('Shultis Faw'!$A$2:$A$26,MATCH($C228,'Shultis Faw'!$A$2:$A$26,1)))*(INDEX('Shultis Faw'!$F$2:$F$26,MATCH($C228,'Shultis Faw'!$A$2:$A$26,1)+1)-INDEX('Shultis Faw'!$F$2:$F$26,MATCH($C228,'Shultis Faw'!$A$2:$A$26,1)))/(INDEX('Shultis Faw'!$A$2:$A$26,MATCH($C228,'Shultis Faw'!$A$2:$A$26,1)+1)-INDEX('Shultis Faw'!$A$2:$A$26,MATCH($C228,'Shultis Faw'!$A$2:$A$26,1))),$C228*'Shultis Faw'!$F$2/'Shultis Faw'!$A$2)</f>
        <v>14.454215999999999</v>
      </c>
      <c r="N228" s="83">
        <f>J228*(H228*'Externe blootstelling'!$D$23/2)^K228+L228*(TANH(((H228*'Externe blootstelling'!$D$23)/(2*M228))-2)-TANH(-2))/(1-TANH(-2))</f>
        <v>1.3159389090026603</v>
      </c>
      <c r="O228" s="83">
        <f>IF(N228=1,1+(I228-1)*H228*'Externe blootstelling'!$D$23/2,1+(I228-1)*(N228^(H228*'Externe blootstelling'!$D$23/2)-1)/(N228-1))</f>
        <v>1.8626331707779493</v>
      </c>
      <c r="P228" s="67">
        <f>G228*EXP(-H228*'Externe blootstelling'!$D$23/2)*O228</f>
        <v>2.0992427248645449E-4</v>
      </c>
      <c r="Q228" s="68"/>
    </row>
    <row r="229" spans="1:17" x14ac:dyDescent="0.2">
      <c r="A229" s="217"/>
      <c r="B229" s="64" t="s">
        <v>104</v>
      </c>
      <c r="C229" s="66">
        <v>1.408013</v>
      </c>
      <c r="D229" s="66">
        <f t="shared" si="16"/>
        <v>2.2528207999999998E-13</v>
      </c>
      <c r="E229" s="66">
        <v>0.20850000000000002</v>
      </c>
      <c r="F229" s="66">
        <f>_xlfn.IFNA(INDEX('hp (pSv cm2)'!$B$2:$B$52,MATCH($C229,'hp (pSv cm2)'!$A$2:$A$52,1))+($C229-INDEX('hp (pSv cm2)'!$A$2:$A$52,MATCH($C229,'hp (pSv cm2)'!$A$2:$A$52,1)))*(INDEX('hp (pSv cm2)'!$B$2:$B$52,MATCH($C229,'hp (pSv cm2)'!$A$2:$A$52,1)+1)-INDEX('hp (pSv cm2)'!$B$2:$B$52,MATCH($C229,'hp (pSv cm2)'!$A$2:$A$52,1)))/(INDEX('hp (pSv cm2)'!$A$2:$A$52,MATCH($C229,'hp (pSv cm2)'!$A$2:$A$52,1)+1)-INDEX('hp (pSv cm2)'!$A$2:$A$52,MATCH($C229,'hp (pSv cm2)'!$A$2:$A$52,1))),$C229*'hp (pSv cm2)'!$B$2/'hp (pSv cm2)'!$A$2)</f>
        <v>5.8201223799999999</v>
      </c>
      <c r="G229" s="67">
        <f t="shared" si="17"/>
        <v>1.2134955162300001</v>
      </c>
      <c r="H229" s="83">
        <f>_xlfn.IFNA(0.997*(INDEX('Mass attenuation coefficients'!$B$2:$B$37,MATCH($C229,'Mass attenuation coefficients'!$A$2:$A$37,1))+($C229-INDEX('Mass attenuation coefficients'!$A$2:$A$37,MATCH($C229,'Mass attenuation coefficients'!$A$2:$A$37,1)))*(INDEX('Mass attenuation coefficients'!$B$2:$B$37,MATCH($C229,'Mass attenuation coefficients'!$A$2:$A$37,1)+1)-INDEX('Mass attenuation coefficients'!$B$2:$B$37,MATCH($C229,'Mass attenuation coefficients'!$A$2:$A$37,1)))/(INDEX('Mass attenuation coefficients'!$A$2:$A$37,MATCH($C229,'Mass attenuation coefficients'!$A$2:$A$37,1)+1)-INDEX('Mass attenuation coefficients'!$A$2:$A$37,MATCH($C229,'Mass attenuation coefficients'!$A$2:$A$37,1)))),0.997*$C229*'Mass attenuation coefficients'!$B$2/'Mass attenuation coefficients'!$A$2)</f>
        <v>5.945472324764E-2</v>
      </c>
      <c r="I229" s="83">
        <f>_xlfn.IFNA(INDEX('Shultis Faw'!$C$2:$C$26,MATCH($C229,'Shultis Faw'!$A$2:$A$26,1))+($C229-INDEX('Shultis Faw'!$A$2:$A$26,MATCH($C229,'Shultis Faw'!$A$2:$A$26,1)))*(INDEX('Shultis Faw'!$C$2:$C$26,MATCH($C229,'Shultis Faw'!$A$2:$A$26,1)+1)-INDEX('Shultis Faw'!$C$2:$C$26,MATCH($C229,'Shultis Faw'!$A$2:$A$26,1)))/(INDEX('Shultis Faw'!$A$2:$A$26,MATCH($C229,'Shultis Faw'!$A$2:$A$26,1)+1)-INDEX('Shultis Faw'!$A$2:$A$26,MATCH($C229,'Shultis Faw'!$A$2:$A$26,1))),$C229*'Shultis Faw'!$C$2/'Shultis Faw'!$A$2)</f>
        <v>1.9691717360000001</v>
      </c>
      <c r="J229" s="83">
        <f>_xlfn.IFNA(INDEX('Shultis Faw'!$D$2:$D$26,MATCH($C229,'Shultis Faw'!$A$2:$A$26,1))+($C229-INDEX('Shultis Faw'!$A$2:$A$26,MATCH($C229,'Shultis Faw'!$A$2:$A$26,1)))*(INDEX('Shultis Faw'!$D$2:$D$26,MATCH($C229,'Shultis Faw'!$A$2:$A$26,1)+1)-INDEX('Shultis Faw'!$D$2:$D$26,MATCH($C229,'Shultis Faw'!$A$2:$A$26,1)))/(INDEX('Shultis Faw'!$A$2:$A$26,MATCH($C229,'Shultis Faw'!$A$2:$A$26,1)+1)-INDEX('Shultis Faw'!$A$2:$A$26,MATCH($C229,'Shultis Faw'!$A$2:$A$26,1))),$C229*'Shultis Faw'!$D$2/'Shultis Faw'!$A$2)</f>
        <v>1.3006435279999999</v>
      </c>
      <c r="K229" s="83">
        <f>_xlfn.IFNA(INDEX('Shultis Faw'!$B$2:$B$26,MATCH($C229,'Shultis Faw'!$A$2:$A$26,1))+($C229-INDEX('Shultis Faw'!$A$2:$A$26,MATCH($C229,'Shultis Faw'!$A$2:$A$26,1)))*(INDEX('Shultis Faw'!$B$2:$B$26,MATCH($C229,'Shultis Faw'!$A$2:$A$26,1)+1)-INDEX('Shultis Faw'!$B$2:$B$26,MATCH($C229,'Shultis Faw'!$A$2:$A$26,1)))/(INDEX('Shultis Faw'!$A$2:$A$26,MATCH($C229,'Shultis Faw'!$A$2:$A$26,1)+1)-INDEX('Shultis Faw'!$A$2:$A$26,MATCH($C229,'Shultis Faw'!$A$2:$A$26,1))),$C229*'Shultis Faw'!$B$2/'Shultis Faw'!$A$2)</f>
        <v>-6.3703194000000005E-2</v>
      </c>
      <c r="L229" s="83">
        <f>_xlfn.IFNA(INDEX('Shultis Faw'!$E$2:$E$26,MATCH($C229,'Shultis Faw'!$A$2:$A$26,1))+($C229-INDEX('Shultis Faw'!$A$2:$A$26,MATCH($C229,'Shultis Faw'!$A$2:$A$26,1)))*(INDEX('Shultis Faw'!$E$2:$E$26,MATCH($C229,'Shultis Faw'!$A$2:$A$26,1)+1)-INDEX('Shultis Faw'!$E$2:$E$26,MATCH($C229,'Shultis Faw'!$A$2:$A$26,1)))/(INDEX('Shultis Faw'!$A$2:$A$26,MATCH($C229,'Shultis Faw'!$A$2:$A$26,1)+1)-INDEX('Shultis Faw'!$A$2:$A$26,MATCH($C229,'Shultis Faw'!$A$2:$A$26,1))),$C229*'Shultis Faw'!$E$2/'Shultis Faw'!$A$2)</f>
        <v>2.7028456800000003E-2</v>
      </c>
      <c r="M229" s="83">
        <f>_xlfn.IFNA(INDEX('Shultis Faw'!$F$2:$F$26,MATCH($C229,'Shultis Faw'!$A$2:$A$26,1))+($C229-INDEX('Shultis Faw'!$A$2:$A$26,MATCH($C229,'Shultis Faw'!$A$2:$A$26,1)))*(INDEX('Shultis Faw'!$F$2:$F$26,MATCH($C229,'Shultis Faw'!$A$2:$A$26,1)+1)-INDEX('Shultis Faw'!$F$2:$F$26,MATCH($C229,'Shultis Faw'!$A$2:$A$26,1)))/(INDEX('Shultis Faw'!$A$2:$A$26,MATCH($C229,'Shultis Faw'!$A$2:$A$26,1)+1)-INDEX('Shultis Faw'!$A$2:$A$26,MATCH($C229,'Shultis Faw'!$A$2:$A$26,1))),$C229*'Shultis Faw'!$F$2/'Shultis Faw'!$A$2)</f>
        <v>14.464807799999999</v>
      </c>
      <c r="N229" s="83">
        <f>J229*(H229*'Externe blootstelling'!$D$23/2)^K229+L229*(TANH(((H229*'Externe blootstelling'!$D$23)/(2*M229))-2)-TANH(-2))/(1-TANH(-2))</f>
        <v>1.3102279393599952</v>
      </c>
      <c r="O229" s="83">
        <f>IF(N229=1,1+(I229-1)*H229*'Externe blootstelling'!$D$23/2,1+(I229-1)*(N229^(H229*'Externe blootstelling'!$D$23/2)-1)/(N229-1))</f>
        <v>1.8512576674399805</v>
      </c>
      <c r="P229" s="67">
        <f>G229*EXP(-H229*'Externe blootstelling'!$D$23/2)*O229</f>
        <v>0.92085695552979407</v>
      </c>
      <c r="Q229" s="68"/>
    </row>
    <row r="230" spans="1:17" x14ac:dyDescent="0.2">
      <c r="A230" s="217"/>
      <c r="B230" s="64" t="s">
        <v>104</v>
      </c>
      <c r="C230" s="66">
        <v>1.457643</v>
      </c>
      <c r="D230" s="66">
        <f t="shared" si="16"/>
        <v>2.3322287999999998E-13</v>
      </c>
      <c r="E230" s="66">
        <v>4.9800000000000001E-3</v>
      </c>
      <c r="F230" s="66">
        <f>_xlfn.IFNA(INDEX('hp (pSv cm2)'!$B$2:$B$52,MATCH($C230,'hp (pSv cm2)'!$A$2:$A$52,1))+($C230-INDEX('hp (pSv cm2)'!$A$2:$A$52,MATCH($C230,'hp (pSv cm2)'!$A$2:$A$52,1)))*(INDEX('hp (pSv cm2)'!$B$2:$B$52,MATCH($C230,'hp (pSv cm2)'!$A$2:$A$52,1)+1)-INDEX('hp (pSv cm2)'!$B$2:$B$52,MATCH($C230,'hp (pSv cm2)'!$A$2:$A$52,1)))/(INDEX('hp (pSv cm2)'!$A$2:$A$52,MATCH($C230,'hp (pSv cm2)'!$A$2:$A$52,1)+1)-INDEX('hp (pSv cm2)'!$A$2:$A$52,MATCH($C230,'hp (pSv cm2)'!$A$2:$A$52,1))),$C230*'hp (pSv cm2)'!$B$2/'hp (pSv cm2)'!$A$2)</f>
        <v>5.9819161800000007</v>
      </c>
      <c r="G230" s="67">
        <f t="shared" si="17"/>
        <v>2.9789942576400004E-2</v>
      </c>
      <c r="H230" s="83">
        <f>_xlfn.IFNA(0.997*(INDEX('Mass attenuation coefficients'!$B$2:$B$37,MATCH($C230,'Mass attenuation coefficients'!$A$2:$A$37,1))+($C230-INDEX('Mass attenuation coefficients'!$A$2:$A$37,MATCH($C230,'Mass attenuation coefficients'!$A$2:$A$37,1)))*(INDEX('Mass attenuation coefficients'!$B$2:$B$37,MATCH($C230,'Mass attenuation coefficients'!$A$2:$A$37,1)+1)-INDEX('Mass attenuation coefficients'!$B$2:$B$37,MATCH($C230,'Mass attenuation coefficients'!$A$2:$A$37,1)))/(INDEX('Mass attenuation coefficients'!$A$2:$A$37,MATCH($C230,'Mass attenuation coefficients'!$A$2:$A$37,1)+1)-INDEX('Mass attenuation coefficients'!$A$2:$A$37,MATCH($C230,'Mass attenuation coefficients'!$A$2:$A$37,1)))),0.997*$C230*'Mass attenuation coefficients'!$B$2/'Mass attenuation coefficients'!$A$2)</f>
        <v>5.8328533184039993E-2</v>
      </c>
      <c r="I230" s="83">
        <f>_xlfn.IFNA(INDEX('Shultis Faw'!$C$2:$C$26,MATCH($C230,'Shultis Faw'!$A$2:$A$26,1))+($C230-INDEX('Shultis Faw'!$A$2:$A$26,MATCH($C230,'Shultis Faw'!$A$2:$A$26,1)))*(INDEX('Shultis Faw'!$C$2:$C$26,MATCH($C230,'Shultis Faw'!$A$2:$A$26,1)+1)-INDEX('Shultis Faw'!$C$2:$C$26,MATCH($C230,'Shultis Faw'!$A$2:$A$26,1)))/(INDEX('Shultis Faw'!$A$2:$A$26,MATCH($C230,'Shultis Faw'!$A$2:$A$26,1)+1)-INDEX('Shultis Faw'!$A$2:$A$26,MATCH($C230,'Shultis Faw'!$A$2:$A$26,1))),$C230*'Shultis Faw'!$C$2/'Shultis Faw'!$A$2)</f>
        <v>1.9528930959999999</v>
      </c>
      <c r="J230" s="83">
        <f>_xlfn.IFNA(INDEX('Shultis Faw'!$D$2:$D$26,MATCH($C230,'Shultis Faw'!$A$2:$A$26,1))+($C230-INDEX('Shultis Faw'!$A$2:$A$26,MATCH($C230,'Shultis Faw'!$A$2:$A$26,1)))*(INDEX('Shultis Faw'!$D$2:$D$26,MATCH($C230,'Shultis Faw'!$A$2:$A$26,1)+1)-INDEX('Shultis Faw'!$D$2:$D$26,MATCH($C230,'Shultis Faw'!$A$2:$A$26,1)))/(INDEX('Shultis Faw'!$A$2:$A$26,MATCH($C230,'Shultis Faw'!$A$2:$A$26,1)+1)-INDEX('Shultis Faw'!$A$2:$A$26,MATCH($C230,'Shultis Faw'!$A$2:$A$26,1))),$C230*'Shultis Faw'!$D$2/'Shultis Faw'!$A$2)</f>
        <v>1.2835708079999999</v>
      </c>
      <c r="K230" s="83">
        <f>_xlfn.IFNA(INDEX('Shultis Faw'!$B$2:$B$26,MATCH($C230,'Shultis Faw'!$A$2:$A$26,1))+($C230-INDEX('Shultis Faw'!$A$2:$A$26,MATCH($C230,'Shultis Faw'!$A$2:$A$26,1)))*(INDEX('Shultis Faw'!$B$2:$B$26,MATCH($C230,'Shultis Faw'!$A$2:$A$26,1)+1)-INDEX('Shultis Faw'!$B$2:$B$26,MATCH($C230,'Shultis Faw'!$A$2:$A$26,1)))/(INDEX('Shultis Faw'!$A$2:$A$26,MATCH($C230,'Shultis Faw'!$A$2:$A$26,1)+1)-INDEX('Shultis Faw'!$A$2:$A$26,MATCH($C230,'Shultis Faw'!$A$2:$A$26,1))),$C230*'Shultis Faw'!$B$2/'Shultis Faw'!$A$2)</f>
        <v>-6.0626133999999998E-2</v>
      </c>
      <c r="L230" s="83">
        <f>_xlfn.IFNA(INDEX('Shultis Faw'!$E$2:$E$26,MATCH($C230,'Shultis Faw'!$A$2:$A$26,1))+($C230-INDEX('Shultis Faw'!$A$2:$A$26,MATCH($C230,'Shultis Faw'!$A$2:$A$26,1)))*(INDEX('Shultis Faw'!$E$2:$E$26,MATCH($C230,'Shultis Faw'!$A$2:$A$26,1)+1)-INDEX('Shultis Faw'!$E$2:$E$26,MATCH($C230,'Shultis Faw'!$A$2:$A$26,1)))/(INDEX('Shultis Faw'!$A$2:$A$26,MATCH($C230,'Shultis Faw'!$A$2:$A$26,1)+1)-INDEX('Shultis Faw'!$A$2:$A$26,MATCH($C230,'Shultis Faw'!$A$2:$A$26,1))),$C230*'Shultis Faw'!$E$2/'Shultis Faw'!$A$2)</f>
        <v>2.5718224800000002E-2</v>
      </c>
      <c r="M230" s="83">
        <f>_xlfn.IFNA(INDEX('Shultis Faw'!$F$2:$F$26,MATCH($C230,'Shultis Faw'!$A$2:$A$26,1))+($C230-INDEX('Shultis Faw'!$A$2:$A$26,MATCH($C230,'Shultis Faw'!$A$2:$A$26,1)))*(INDEX('Shultis Faw'!$F$2:$F$26,MATCH($C230,'Shultis Faw'!$A$2:$A$26,1)+1)-INDEX('Shultis Faw'!$F$2:$F$26,MATCH($C230,'Shultis Faw'!$A$2:$A$26,1)))/(INDEX('Shultis Faw'!$A$2:$A$26,MATCH($C230,'Shultis Faw'!$A$2:$A$26,1)+1)-INDEX('Shultis Faw'!$A$2:$A$26,MATCH($C230,'Shultis Faw'!$A$2:$A$26,1))),$C230*'Shultis Faw'!$F$2/'Shultis Faw'!$A$2)</f>
        <v>14.494585799999999</v>
      </c>
      <c r="N230" s="83">
        <f>J230*(H230*'Externe blootstelling'!$D$23/2)^K230+L230*(TANH(((H230*'Externe blootstelling'!$D$23)/(2*M230))-2)-TANH(-2))/(1-TANH(-2))</f>
        <v>1.2940697937296592</v>
      </c>
      <c r="O230" s="83">
        <f>IF(N230=1,1+(I230-1)*H230*'Externe blootstelling'!$D$23/2,1+(I230-1)*(N230^(H230*'Externe blootstelling'!$D$23/2)-1)/(N230-1))</f>
        <v>1.8198480685878269</v>
      </c>
      <c r="P230" s="67">
        <f>G230*EXP(-H230*'Externe blootstelling'!$D$23/2)*O230</f>
        <v>2.2601038581493791E-2</v>
      </c>
      <c r="Q230" s="68"/>
    </row>
    <row r="231" spans="1:17" x14ac:dyDescent="0.2">
      <c r="A231" s="217"/>
      <c r="B231" s="64" t="s">
        <v>104</v>
      </c>
      <c r="C231" s="66">
        <v>1.528103</v>
      </c>
      <c r="D231" s="66">
        <f t="shared" si="16"/>
        <v>2.4449648E-13</v>
      </c>
      <c r="E231" s="66">
        <v>2.8100000000000004E-3</v>
      </c>
      <c r="F231" s="66">
        <f>_xlfn.IFNA(INDEX('hp (pSv cm2)'!$B$2:$B$52,MATCH($C231,'hp (pSv cm2)'!$A$2:$A$52,1))+($C231-INDEX('hp (pSv cm2)'!$A$2:$A$52,MATCH($C231,'hp (pSv cm2)'!$A$2:$A$52,1)))*(INDEX('hp (pSv cm2)'!$B$2:$B$52,MATCH($C231,'hp (pSv cm2)'!$A$2:$A$52,1)+1)-INDEX('hp (pSv cm2)'!$B$2:$B$52,MATCH($C231,'hp (pSv cm2)'!$A$2:$A$52,1)))/(INDEX('hp (pSv cm2)'!$A$2:$A$52,MATCH($C231,'hp (pSv cm2)'!$A$2:$A$52,1)+1)-INDEX('hp (pSv cm2)'!$A$2:$A$52,MATCH($C231,'hp (pSv cm2)'!$A$2:$A$52,1))),$C231*'hp (pSv cm2)'!$B$2/'hp (pSv cm2)'!$A$2)</f>
        <v>6.1964401599999999</v>
      </c>
      <c r="G231" s="67">
        <f t="shared" si="17"/>
        <v>1.7411996849600004E-2</v>
      </c>
      <c r="H231" s="83">
        <f>_xlfn.IFNA(0.997*(INDEX('Mass attenuation coefficients'!$B$2:$B$37,MATCH($C231,'Mass attenuation coefficients'!$A$2:$A$37,1))+($C231-INDEX('Mass attenuation coefficients'!$A$2:$A$37,MATCH($C231,'Mass attenuation coefficients'!$A$2:$A$37,1)))*(INDEX('Mass attenuation coefficients'!$B$2:$B$37,MATCH($C231,'Mass attenuation coefficients'!$A$2:$A$37,1)+1)-INDEX('Mass attenuation coefficients'!$B$2:$B$37,MATCH($C231,'Mass attenuation coefficients'!$A$2:$A$37,1)))/(INDEX('Mass attenuation coefficients'!$A$2:$A$37,MATCH($C231,'Mass attenuation coefficients'!$A$2:$A$37,1)+1)-INDEX('Mass attenuation coefficients'!$A$2:$A$37,MATCH($C231,'Mass attenuation coefficients'!$A$2:$A$37,1)))),0.997*$C231*'Mass attenuation coefficients'!$B$2/'Mass attenuation coefficients'!$A$2)</f>
        <v>5.691235645816E-2</v>
      </c>
      <c r="I231" s="83">
        <f>_xlfn.IFNA(INDEX('Shultis Faw'!$C$2:$C$26,MATCH($C231,'Shultis Faw'!$A$2:$A$26,1))+($C231-INDEX('Shultis Faw'!$A$2:$A$26,MATCH($C231,'Shultis Faw'!$A$2:$A$26,1)))*(INDEX('Shultis Faw'!$C$2:$C$26,MATCH($C231,'Shultis Faw'!$A$2:$A$26,1)+1)-INDEX('Shultis Faw'!$C$2:$C$26,MATCH($C231,'Shultis Faw'!$A$2:$A$26,1)))/(INDEX('Shultis Faw'!$A$2:$A$26,MATCH($C231,'Shultis Faw'!$A$2:$A$26,1)+1)-INDEX('Shultis Faw'!$A$2:$A$26,MATCH($C231,'Shultis Faw'!$A$2:$A$26,1))),$C231*'Shultis Faw'!$C$2/'Shultis Faw'!$A$2)</f>
        <v>1.9333794</v>
      </c>
      <c r="J231" s="83">
        <f>_xlfn.IFNA(INDEX('Shultis Faw'!$D$2:$D$26,MATCH($C231,'Shultis Faw'!$A$2:$A$26,1))+($C231-INDEX('Shultis Faw'!$A$2:$A$26,MATCH($C231,'Shultis Faw'!$A$2:$A$26,1)))*(INDEX('Shultis Faw'!$D$2:$D$26,MATCH($C231,'Shultis Faw'!$A$2:$A$26,1)+1)-INDEX('Shultis Faw'!$D$2:$D$26,MATCH($C231,'Shultis Faw'!$A$2:$A$26,1)))/(INDEX('Shultis Faw'!$A$2:$A$26,MATCH($C231,'Shultis Faw'!$A$2:$A$26,1)+1)-INDEX('Shultis Faw'!$A$2:$A$26,MATCH($C231,'Shultis Faw'!$A$2:$A$26,1))),$C231*'Shultis Faw'!$D$2/'Shultis Faw'!$A$2)</f>
        <v>1.2636042239999998</v>
      </c>
      <c r="K231" s="83">
        <f>_xlfn.IFNA(INDEX('Shultis Faw'!$B$2:$B$26,MATCH($C231,'Shultis Faw'!$A$2:$A$26,1))+($C231-INDEX('Shultis Faw'!$A$2:$A$26,MATCH($C231,'Shultis Faw'!$A$2:$A$26,1)))*(INDEX('Shultis Faw'!$B$2:$B$26,MATCH($C231,'Shultis Faw'!$A$2:$A$26,1)+1)-INDEX('Shultis Faw'!$B$2:$B$26,MATCH($C231,'Shultis Faw'!$A$2:$A$26,1)))/(INDEX('Shultis Faw'!$A$2:$A$26,MATCH($C231,'Shultis Faw'!$A$2:$A$26,1)+1)-INDEX('Shultis Faw'!$A$2:$A$26,MATCH($C231,'Shultis Faw'!$A$2:$A$26,1))),$C231*'Shultis Faw'!$B$2/'Shultis Faw'!$A$2)</f>
        <v>-5.6932086000000007E-2</v>
      </c>
      <c r="L231" s="83">
        <f>_xlfn.IFNA(INDEX('Shultis Faw'!$E$2:$E$26,MATCH($C231,'Shultis Faw'!$A$2:$A$26,1))+($C231-INDEX('Shultis Faw'!$A$2:$A$26,MATCH($C231,'Shultis Faw'!$A$2:$A$26,1)))*(INDEX('Shultis Faw'!$E$2:$E$26,MATCH($C231,'Shultis Faw'!$A$2:$A$26,1)+1)-INDEX('Shultis Faw'!$E$2:$E$26,MATCH($C231,'Shultis Faw'!$A$2:$A$26,1)))/(INDEX('Shultis Faw'!$A$2:$A$26,MATCH($C231,'Shultis Faw'!$A$2:$A$26,1)+1)-INDEX('Shultis Faw'!$A$2:$A$26,MATCH($C231,'Shultis Faw'!$A$2:$A$26,1))),$C231*'Shultis Faw'!$E$2/'Shultis Faw'!$A$2)</f>
        <v>2.4122249000000002E-2</v>
      </c>
      <c r="M231" s="83">
        <f>_xlfn.IFNA(INDEX('Shultis Faw'!$F$2:$F$26,MATCH($C231,'Shultis Faw'!$A$2:$A$26,1))+($C231-INDEX('Shultis Faw'!$A$2:$A$26,MATCH($C231,'Shultis Faw'!$A$2:$A$26,1)))*(INDEX('Shultis Faw'!$F$2:$F$26,MATCH($C231,'Shultis Faw'!$A$2:$A$26,1)+1)-INDEX('Shultis Faw'!$F$2:$F$26,MATCH($C231,'Shultis Faw'!$A$2:$A$26,1)))/(INDEX('Shultis Faw'!$A$2:$A$26,MATCH($C231,'Shultis Faw'!$A$2:$A$26,1)+1)-INDEX('Shultis Faw'!$A$2:$A$26,MATCH($C231,'Shultis Faw'!$A$2:$A$26,1))),$C231*'Shultis Faw'!$F$2/'Shultis Faw'!$A$2)</f>
        <v>14.4947073</v>
      </c>
      <c r="N231" s="83">
        <f>J231*(H231*'Externe blootstelling'!$D$23/2)^K231+L231*(TANH(((H231*'Externe blootstelling'!$D$23)/(2*M231))-2)-TANH(-2))/(1-TANH(-2))</f>
        <v>1.2750900577837974</v>
      </c>
      <c r="O231" s="83">
        <f>IF(N231=1,1+(I231-1)*H231*'Externe blootstelling'!$D$23/2,1+(I231-1)*(N231^(H231*'Externe blootstelling'!$D$23/2)-1)/(N231-1))</f>
        <v>1.7822496010710482</v>
      </c>
      <c r="P231" s="67">
        <f>G231*EXP(-H231*'Externe blootstelling'!$D$23/2)*O231</f>
        <v>1.3214972711182896E-2</v>
      </c>
      <c r="Q231" s="68"/>
    </row>
    <row r="232" spans="1:17" x14ac:dyDescent="0.2">
      <c r="A232" s="217"/>
      <c r="B232" s="64" t="s">
        <v>104</v>
      </c>
      <c r="C232" s="66">
        <v>1.60561</v>
      </c>
      <c r="D232" s="66">
        <f t="shared" si="16"/>
        <v>2.5689759999999997E-13</v>
      </c>
      <c r="E232" s="66">
        <v>8.099999999999999E-5</v>
      </c>
      <c r="F232" s="66">
        <f>_xlfn.IFNA(INDEX('hp (pSv cm2)'!$B$2:$B$52,MATCH($C232,'hp (pSv cm2)'!$A$2:$A$52,1))+($C232-INDEX('hp (pSv cm2)'!$A$2:$A$52,MATCH($C232,'hp (pSv cm2)'!$A$2:$A$52,1)))*(INDEX('hp (pSv cm2)'!$B$2:$B$52,MATCH($C232,'hp (pSv cm2)'!$A$2:$A$52,1)+1)-INDEX('hp (pSv cm2)'!$B$2:$B$52,MATCH($C232,'hp (pSv cm2)'!$A$2:$A$52,1)))/(INDEX('hp (pSv cm2)'!$A$2:$A$52,MATCH($C232,'hp (pSv cm2)'!$A$2:$A$52,1)+1)-INDEX('hp (pSv cm2)'!$A$2:$A$52,MATCH($C232,'hp (pSv cm2)'!$A$2:$A$52,1))),$C232*'hp (pSv cm2)'!$B$2/'hp (pSv cm2)'!$A$2)</f>
        <v>6.4072592000000004</v>
      </c>
      <c r="G232" s="67">
        <f t="shared" si="17"/>
        <v>5.1898799519999993E-4</v>
      </c>
      <c r="H232" s="83">
        <f>_xlfn.IFNA(0.997*(INDEX('Mass attenuation coefficients'!$B$2:$B$37,MATCH($C232,'Mass attenuation coefficients'!$A$2:$A$37,1))+($C232-INDEX('Mass attenuation coefficients'!$A$2:$A$37,MATCH($C232,'Mass attenuation coefficients'!$A$2:$A$37,1)))*(INDEX('Mass attenuation coefficients'!$B$2:$B$37,MATCH($C232,'Mass attenuation coefficients'!$A$2:$A$37,1)+1)-INDEX('Mass attenuation coefficients'!$B$2:$B$37,MATCH($C232,'Mass attenuation coefficients'!$A$2:$A$37,1)))/(INDEX('Mass attenuation coefficients'!$A$2:$A$37,MATCH($C232,'Mass attenuation coefficients'!$A$2:$A$37,1)+1)-INDEX('Mass attenuation coefficients'!$A$2:$A$37,MATCH($C232,'Mass attenuation coefficients'!$A$2:$A$37,1)))),0.997*$C232*'Mass attenuation coefficients'!$B$2/'Mass attenuation coefficients'!$A$2)</f>
        <v>5.5657418919200001E-2</v>
      </c>
      <c r="I232" s="83">
        <f>_xlfn.IFNA(INDEX('Shultis Faw'!$C$2:$C$26,MATCH($C232,'Shultis Faw'!$A$2:$A$26,1))+($C232-INDEX('Shultis Faw'!$A$2:$A$26,MATCH($C232,'Shultis Faw'!$A$2:$A$26,1)))*(INDEX('Shultis Faw'!$C$2:$C$26,MATCH($C232,'Shultis Faw'!$A$2:$A$26,1)+1)-INDEX('Shultis Faw'!$C$2:$C$26,MATCH($C232,'Shultis Faw'!$A$2:$A$26,1)))/(INDEX('Shultis Faw'!$A$2:$A$26,MATCH($C232,'Shultis Faw'!$A$2:$A$26,1)+1)-INDEX('Shultis Faw'!$A$2:$A$26,MATCH($C232,'Shultis Faw'!$A$2:$A$26,1))),$C232*'Shultis Faw'!$C$2/'Shultis Faw'!$A$2)</f>
        <v>1.917878</v>
      </c>
      <c r="J232" s="83">
        <f>_xlfn.IFNA(INDEX('Shultis Faw'!$D$2:$D$26,MATCH($C232,'Shultis Faw'!$A$2:$A$26,1))+($C232-INDEX('Shultis Faw'!$A$2:$A$26,MATCH($C232,'Shultis Faw'!$A$2:$A$26,1)))*(INDEX('Shultis Faw'!$D$2:$D$26,MATCH($C232,'Shultis Faw'!$A$2:$A$26,1)+1)-INDEX('Shultis Faw'!$D$2:$D$26,MATCH($C232,'Shultis Faw'!$A$2:$A$26,1)))/(INDEX('Shultis Faw'!$A$2:$A$26,MATCH($C232,'Shultis Faw'!$A$2:$A$26,1)+1)-INDEX('Shultis Faw'!$A$2:$A$26,MATCH($C232,'Shultis Faw'!$A$2:$A$26,1))),$C232*'Shultis Faw'!$D$2/'Shultis Faw'!$A$2)</f>
        <v>1.2487228799999999</v>
      </c>
      <c r="K232" s="83">
        <f>_xlfn.IFNA(INDEX('Shultis Faw'!$B$2:$B$26,MATCH($C232,'Shultis Faw'!$A$2:$A$26,1))+($C232-INDEX('Shultis Faw'!$A$2:$A$26,MATCH($C232,'Shultis Faw'!$A$2:$A$26,1)))*(INDEX('Shultis Faw'!$B$2:$B$26,MATCH($C232,'Shultis Faw'!$A$2:$A$26,1)+1)-INDEX('Shultis Faw'!$B$2:$B$26,MATCH($C232,'Shultis Faw'!$A$2:$A$26,1)))/(INDEX('Shultis Faw'!$A$2:$A$26,MATCH($C232,'Shultis Faw'!$A$2:$A$26,1)+1)-INDEX('Shultis Faw'!$A$2:$A$26,MATCH($C232,'Shultis Faw'!$A$2:$A$26,1))),$C232*'Shultis Faw'!$B$2/'Shultis Faw'!$A$2)</f>
        <v>-5.3986820000000005E-2</v>
      </c>
      <c r="L232" s="83">
        <f>_xlfn.IFNA(INDEX('Shultis Faw'!$E$2:$E$26,MATCH($C232,'Shultis Faw'!$A$2:$A$26,1))+($C232-INDEX('Shultis Faw'!$A$2:$A$26,MATCH($C232,'Shultis Faw'!$A$2:$A$26,1)))*(INDEX('Shultis Faw'!$E$2:$E$26,MATCH($C232,'Shultis Faw'!$A$2:$A$26,1)+1)-INDEX('Shultis Faw'!$E$2:$E$26,MATCH($C232,'Shultis Faw'!$A$2:$A$26,1)))/(INDEX('Shultis Faw'!$A$2:$A$26,MATCH($C232,'Shultis Faw'!$A$2:$A$26,1)+1)-INDEX('Shultis Faw'!$A$2:$A$26,MATCH($C232,'Shultis Faw'!$A$2:$A$26,1))),$C232*'Shultis Faw'!$E$2/'Shultis Faw'!$A$2)</f>
        <v>2.2804629999999999E-2</v>
      </c>
      <c r="M232" s="83">
        <f>_xlfn.IFNA(INDEX('Shultis Faw'!$F$2:$F$26,MATCH($C232,'Shultis Faw'!$A$2:$A$26,1))+($C232-INDEX('Shultis Faw'!$A$2:$A$26,MATCH($C232,'Shultis Faw'!$A$2:$A$26,1)))*(INDEX('Shultis Faw'!$F$2:$F$26,MATCH($C232,'Shultis Faw'!$A$2:$A$26,1)+1)-INDEX('Shultis Faw'!$F$2:$F$26,MATCH($C232,'Shultis Faw'!$A$2:$A$26,1)))/(INDEX('Shultis Faw'!$A$2:$A$26,MATCH($C232,'Shultis Faw'!$A$2:$A$26,1)+1)-INDEX('Shultis Faw'!$A$2:$A$26,MATCH($C232,'Shultis Faw'!$A$2:$A$26,1))),$C232*'Shultis Faw'!$F$2/'Shultis Faw'!$A$2)</f>
        <v>14.424951</v>
      </c>
      <c r="N232" s="83">
        <f>J232*(H232*'Externe blootstelling'!$D$23/2)^K232+L232*(TANH(((H232*'Externe blootstelling'!$D$23)/(2*M232))-2)-TANH(-2))/(1-TANH(-2))</f>
        <v>1.2610002148304631</v>
      </c>
      <c r="O232" s="83">
        <f>IF(N232=1,1+(I232-1)*H232*'Externe blootstelling'!$D$23/2,1+(I232-1)*(N232^(H232*'Externe blootstelling'!$D$23/2)-1)/(N232-1))</f>
        <v>1.7512571860875068</v>
      </c>
      <c r="P232" s="67">
        <f>G232*EXP(-H232*'Externe blootstelling'!$D$23/2)*O232</f>
        <v>3.9439517565433355E-4</v>
      </c>
      <c r="Q232" s="68"/>
    </row>
    <row r="233" spans="1:17" x14ac:dyDescent="0.2">
      <c r="A233" s="217"/>
      <c r="B233" s="64" t="s">
        <v>104</v>
      </c>
      <c r="C233" s="66">
        <v>1.6083599999999998</v>
      </c>
      <c r="D233" s="66">
        <f t="shared" si="16"/>
        <v>2.5733759999999997E-13</v>
      </c>
      <c r="E233" s="66">
        <v>5.3000000000000001E-5</v>
      </c>
      <c r="F233" s="66">
        <f>_xlfn.IFNA(INDEX('hp (pSv cm2)'!$B$2:$B$52,MATCH($C233,'hp (pSv cm2)'!$A$2:$A$52,1))+($C233-INDEX('hp (pSv cm2)'!$A$2:$A$52,MATCH($C233,'hp (pSv cm2)'!$A$2:$A$52,1)))*(INDEX('hp (pSv cm2)'!$B$2:$B$52,MATCH($C233,'hp (pSv cm2)'!$A$2:$A$52,1)+1)-INDEX('hp (pSv cm2)'!$B$2:$B$52,MATCH($C233,'hp (pSv cm2)'!$A$2:$A$52,1)))/(INDEX('hp (pSv cm2)'!$A$2:$A$52,MATCH($C233,'hp (pSv cm2)'!$A$2:$A$52,1)+1)-INDEX('hp (pSv cm2)'!$A$2:$A$52,MATCH($C233,'hp (pSv cm2)'!$A$2:$A$52,1))),$C233*'hp (pSv cm2)'!$B$2/'hp (pSv cm2)'!$A$2)</f>
        <v>6.4147391999999996</v>
      </c>
      <c r="G233" s="67">
        <f t="shared" si="17"/>
        <v>3.3998117759999997E-4</v>
      </c>
      <c r="H233" s="83">
        <f>_xlfn.IFNA(0.997*(INDEX('Mass attenuation coefficients'!$B$2:$B$37,MATCH($C233,'Mass attenuation coefficients'!$A$2:$A$37,1))+($C233-INDEX('Mass attenuation coefficients'!$A$2:$A$37,MATCH($C233,'Mass attenuation coefficients'!$A$2:$A$37,1)))*(INDEX('Mass attenuation coefficients'!$B$2:$B$37,MATCH($C233,'Mass attenuation coefficients'!$A$2:$A$37,1)+1)-INDEX('Mass attenuation coefficients'!$B$2:$B$37,MATCH($C233,'Mass attenuation coefficients'!$A$2:$A$37,1)))/(INDEX('Mass attenuation coefficients'!$A$2:$A$37,MATCH($C233,'Mass attenuation coefficients'!$A$2:$A$37,1)+1)-INDEX('Mass attenuation coefficients'!$A$2:$A$37,MATCH($C233,'Mass attenuation coefficients'!$A$2:$A$37,1)))),0.997*$C233*'Mass attenuation coefficients'!$B$2/'Mass attenuation coefficients'!$A$2)</f>
        <v>5.5612892899200003E-2</v>
      </c>
      <c r="I233" s="83">
        <f>_xlfn.IFNA(INDEX('Shultis Faw'!$C$2:$C$26,MATCH($C233,'Shultis Faw'!$A$2:$A$26,1))+($C233-INDEX('Shultis Faw'!$A$2:$A$26,MATCH($C233,'Shultis Faw'!$A$2:$A$26,1)))*(INDEX('Shultis Faw'!$C$2:$C$26,MATCH($C233,'Shultis Faw'!$A$2:$A$26,1)+1)-INDEX('Shultis Faw'!$C$2:$C$26,MATCH($C233,'Shultis Faw'!$A$2:$A$26,1)))/(INDEX('Shultis Faw'!$A$2:$A$26,MATCH($C233,'Shultis Faw'!$A$2:$A$26,1)+1)-INDEX('Shultis Faw'!$A$2:$A$26,MATCH($C233,'Shultis Faw'!$A$2:$A$26,1))),$C233*'Shultis Faw'!$C$2/'Shultis Faw'!$A$2)</f>
        <v>1.9173280000000001</v>
      </c>
      <c r="J233" s="83">
        <f>_xlfn.IFNA(INDEX('Shultis Faw'!$D$2:$D$26,MATCH($C233,'Shultis Faw'!$A$2:$A$26,1))+($C233-INDEX('Shultis Faw'!$A$2:$A$26,MATCH($C233,'Shultis Faw'!$A$2:$A$26,1)))*(INDEX('Shultis Faw'!$D$2:$D$26,MATCH($C233,'Shultis Faw'!$A$2:$A$26,1)+1)-INDEX('Shultis Faw'!$D$2:$D$26,MATCH($C233,'Shultis Faw'!$A$2:$A$26,1)))/(INDEX('Shultis Faw'!$A$2:$A$26,MATCH($C233,'Shultis Faw'!$A$2:$A$26,1)+1)-INDEX('Shultis Faw'!$A$2:$A$26,MATCH($C233,'Shultis Faw'!$A$2:$A$26,1))),$C233*'Shultis Faw'!$D$2/'Shultis Faw'!$A$2)</f>
        <v>1.24819488</v>
      </c>
      <c r="K233" s="83">
        <f>_xlfn.IFNA(INDEX('Shultis Faw'!$B$2:$B$26,MATCH($C233,'Shultis Faw'!$A$2:$A$26,1))+($C233-INDEX('Shultis Faw'!$A$2:$A$26,MATCH($C233,'Shultis Faw'!$A$2:$A$26,1)))*(INDEX('Shultis Faw'!$B$2:$B$26,MATCH($C233,'Shultis Faw'!$A$2:$A$26,1)+1)-INDEX('Shultis Faw'!$B$2:$B$26,MATCH($C233,'Shultis Faw'!$A$2:$A$26,1)))/(INDEX('Shultis Faw'!$A$2:$A$26,MATCH($C233,'Shultis Faw'!$A$2:$A$26,1)+1)-INDEX('Shultis Faw'!$A$2:$A$26,MATCH($C233,'Shultis Faw'!$A$2:$A$26,1))),$C233*'Shultis Faw'!$B$2/'Shultis Faw'!$A$2)</f>
        <v>-5.3882320000000011E-2</v>
      </c>
      <c r="L233" s="83">
        <f>_xlfn.IFNA(INDEX('Shultis Faw'!$E$2:$E$26,MATCH($C233,'Shultis Faw'!$A$2:$A$26,1))+($C233-INDEX('Shultis Faw'!$A$2:$A$26,MATCH($C233,'Shultis Faw'!$A$2:$A$26,1)))*(INDEX('Shultis Faw'!$E$2:$E$26,MATCH($C233,'Shultis Faw'!$A$2:$A$26,1)+1)-INDEX('Shultis Faw'!$E$2:$E$26,MATCH($C233,'Shultis Faw'!$A$2:$A$26,1)))/(INDEX('Shultis Faw'!$A$2:$A$26,MATCH($C233,'Shultis Faw'!$A$2:$A$26,1)+1)-INDEX('Shultis Faw'!$A$2:$A$26,MATCH($C233,'Shultis Faw'!$A$2:$A$26,1))),$C233*'Shultis Faw'!$E$2/'Shultis Faw'!$A$2)</f>
        <v>2.2757880000000005E-2</v>
      </c>
      <c r="M233" s="83">
        <f>_xlfn.IFNA(INDEX('Shultis Faw'!$F$2:$F$26,MATCH($C233,'Shultis Faw'!$A$2:$A$26,1))+($C233-INDEX('Shultis Faw'!$A$2:$A$26,MATCH($C233,'Shultis Faw'!$A$2:$A$26,1)))*(INDEX('Shultis Faw'!$F$2:$F$26,MATCH($C233,'Shultis Faw'!$A$2:$A$26,1)+1)-INDEX('Shultis Faw'!$F$2:$F$26,MATCH($C233,'Shultis Faw'!$A$2:$A$26,1)))/(INDEX('Shultis Faw'!$A$2:$A$26,MATCH($C233,'Shultis Faw'!$A$2:$A$26,1)+1)-INDEX('Shultis Faw'!$A$2:$A$26,MATCH($C233,'Shultis Faw'!$A$2:$A$26,1))),$C233*'Shultis Faw'!$F$2/'Shultis Faw'!$A$2)</f>
        <v>14.422476</v>
      </c>
      <c r="N233" s="83">
        <f>J233*(H233*'Externe blootstelling'!$D$23/2)^K233+L233*(TANH(((H233*'Externe blootstelling'!$D$23)/(2*M233))-2)-TANH(-2))/(1-TANH(-2))</f>
        <v>1.2604974891943153</v>
      </c>
      <c r="O233" s="83">
        <f>IF(N233=1,1+(I233-1)*H233*'Externe blootstelling'!$D$23/2,1+(I233-1)*(N233^(H233*'Externe blootstelling'!$D$23/2)-1)/(N233-1))</f>
        <v>1.750172963283585</v>
      </c>
      <c r="P233" s="67">
        <f>G233*EXP(-H233*'Externe blootstelling'!$D$23/2)*O233</f>
        <v>2.5837486145971169E-4</v>
      </c>
      <c r="Q233" s="68"/>
    </row>
    <row r="234" spans="1:17" x14ac:dyDescent="0.2">
      <c r="A234" s="217"/>
      <c r="B234" s="64" t="s">
        <v>104</v>
      </c>
      <c r="C234" s="66">
        <v>1.6352</v>
      </c>
      <c r="D234" s="66">
        <f t="shared" si="16"/>
        <v>2.6163200000000001E-13</v>
      </c>
      <c r="E234" s="66">
        <v>1.4999999999999998E-6</v>
      </c>
      <c r="F234" s="66">
        <f>_xlfn.IFNA(INDEX('hp (pSv cm2)'!$B$2:$B$52,MATCH($C234,'hp (pSv cm2)'!$A$2:$A$52,1))+($C234-INDEX('hp (pSv cm2)'!$A$2:$A$52,MATCH($C234,'hp (pSv cm2)'!$A$2:$A$52,1)))*(INDEX('hp (pSv cm2)'!$B$2:$B$52,MATCH($C234,'hp (pSv cm2)'!$A$2:$A$52,1)+1)-INDEX('hp (pSv cm2)'!$B$2:$B$52,MATCH($C234,'hp (pSv cm2)'!$A$2:$A$52,1)))/(INDEX('hp (pSv cm2)'!$A$2:$A$52,MATCH($C234,'hp (pSv cm2)'!$A$2:$A$52,1)+1)-INDEX('hp (pSv cm2)'!$A$2:$A$52,MATCH($C234,'hp (pSv cm2)'!$A$2:$A$52,1))),$C234*'hp (pSv cm2)'!$B$2/'hp (pSv cm2)'!$A$2)</f>
        <v>6.4877440000000002</v>
      </c>
      <c r="G234" s="67">
        <f t="shared" si="17"/>
        <v>9.7316159999999989E-6</v>
      </c>
      <c r="H234" s="83">
        <f>_xlfn.IFNA(0.997*(INDEX('Mass attenuation coefficients'!$B$2:$B$37,MATCH($C234,'Mass attenuation coefficients'!$A$2:$A$37,1))+($C234-INDEX('Mass attenuation coefficients'!$A$2:$A$37,MATCH($C234,'Mass attenuation coefficients'!$A$2:$A$37,1)))*(INDEX('Mass attenuation coefficients'!$B$2:$B$37,MATCH($C234,'Mass attenuation coefficients'!$A$2:$A$37,1)+1)-INDEX('Mass attenuation coefficients'!$B$2:$B$37,MATCH($C234,'Mass attenuation coefficients'!$A$2:$A$37,1)))/(INDEX('Mass attenuation coefficients'!$A$2:$A$37,MATCH($C234,'Mass attenuation coefficients'!$A$2:$A$37,1)+1)-INDEX('Mass attenuation coefficients'!$A$2:$A$37,MATCH($C234,'Mass attenuation coefficients'!$A$2:$A$37,1)))),0.997*$C234*'Mass attenuation coefficients'!$B$2/'Mass attenuation coefficients'!$A$2)</f>
        <v>5.5178318944E-2</v>
      </c>
      <c r="I234" s="83">
        <f>_xlfn.IFNA(INDEX('Shultis Faw'!$C$2:$C$26,MATCH($C234,'Shultis Faw'!$A$2:$A$26,1))+($C234-INDEX('Shultis Faw'!$A$2:$A$26,MATCH($C234,'Shultis Faw'!$A$2:$A$26,1)))*(INDEX('Shultis Faw'!$C$2:$C$26,MATCH($C234,'Shultis Faw'!$A$2:$A$26,1)+1)-INDEX('Shultis Faw'!$C$2:$C$26,MATCH($C234,'Shultis Faw'!$A$2:$A$26,1)))/(INDEX('Shultis Faw'!$A$2:$A$26,MATCH($C234,'Shultis Faw'!$A$2:$A$26,1)+1)-INDEX('Shultis Faw'!$A$2:$A$26,MATCH($C234,'Shultis Faw'!$A$2:$A$26,1))),$C234*'Shultis Faw'!$C$2/'Shultis Faw'!$A$2)</f>
        <v>1.9119600000000001</v>
      </c>
      <c r="J234" s="83">
        <f>_xlfn.IFNA(INDEX('Shultis Faw'!$D$2:$D$26,MATCH($C234,'Shultis Faw'!$A$2:$A$26,1))+($C234-INDEX('Shultis Faw'!$A$2:$A$26,MATCH($C234,'Shultis Faw'!$A$2:$A$26,1)))*(INDEX('Shultis Faw'!$D$2:$D$26,MATCH($C234,'Shultis Faw'!$A$2:$A$26,1)+1)-INDEX('Shultis Faw'!$D$2:$D$26,MATCH($C234,'Shultis Faw'!$A$2:$A$26,1)))/(INDEX('Shultis Faw'!$A$2:$A$26,MATCH($C234,'Shultis Faw'!$A$2:$A$26,1)+1)-INDEX('Shultis Faw'!$A$2:$A$26,MATCH($C234,'Shultis Faw'!$A$2:$A$26,1))),$C234*'Shultis Faw'!$D$2/'Shultis Faw'!$A$2)</f>
        <v>1.2430416</v>
      </c>
      <c r="K234" s="83">
        <f>_xlfn.IFNA(INDEX('Shultis Faw'!$B$2:$B$26,MATCH($C234,'Shultis Faw'!$A$2:$A$26,1))+($C234-INDEX('Shultis Faw'!$A$2:$A$26,MATCH($C234,'Shultis Faw'!$A$2:$A$26,1)))*(INDEX('Shultis Faw'!$B$2:$B$26,MATCH($C234,'Shultis Faw'!$A$2:$A$26,1)+1)-INDEX('Shultis Faw'!$B$2:$B$26,MATCH($C234,'Shultis Faw'!$A$2:$A$26,1)))/(INDEX('Shultis Faw'!$A$2:$A$26,MATCH($C234,'Shultis Faw'!$A$2:$A$26,1)+1)-INDEX('Shultis Faw'!$A$2:$A$26,MATCH($C234,'Shultis Faw'!$A$2:$A$26,1))),$C234*'Shultis Faw'!$B$2/'Shultis Faw'!$A$2)</f>
        <v>-5.2862400000000004E-2</v>
      </c>
      <c r="L234" s="83">
        <f>_xlfn.IFNA(INDEX('Shultis Faw'!$E$2:$E$26,MATCH($C234,'Shultis Faw'!$A$2:$A$26,1))+($C234-INDEX('Shultis Faw'!$A$2:$A$26,MATCH($C234,'Shultis Faw'!$A$2:$A$26,1)))*(INDEX('Shultis Faw'!$E$2:$E$26,MATCH($C234,'Shultis Faw'!$A$2:$A$26,1)+1)-INDEX('Shultis Faw'!$E$2:$E$26,MATCH($C234,'Shultis Faw'!$A$2:$A$26,1)))/(INDEX('Shultis Faw'!$A$2:$A$26,MATCH($C234,'Shultis Faw'!$A$2:$A$26,1)+1)-INDEX('Shultis Faw'!$A$2:$A$26,MATCH($C234,'Shultis Faw'!$A$2:$A$26,1))),$C234*'Shultis Faw'!$E$2/'Shultis Faw'!$A$2)</f>
        <v>2.2301600000000001E-2</v>
      </c>
      <c r="M234" s="83">
        <f>_xlfn.IFNA(INDEX('Shultis Faw'!$F$2:$F$26,MATCH($C234,'Shultis Faw'!$A$2:$A$26,1))+($C234-INDEX('Shultis Faw'!$A$2:$A$26,MATCH($C234,'Shultis Faw'!$A$2:$A$26,1)))*(INDEX('Shultis Faw'!$F$2:$F$26,MATCH($C234,'Shultis Faw'!$A$2:$A$26,1)+1)-INDEX('Shultis Faw'!$F$2:$F$26,MATCH($C234,'Shultis Faw'!$A$2:$A$26,1)))/(INDEX('Shultis Faw'!$A$2:$A$26,MATCH($C234,'Shultis Faw'!$A$2:$A$26,1)+1)-INDEX('Shultis Faw'!$A$2:$A$26,MATCH($C234,'Shultis Faw'!$A$2:$A$26,1))),$C234*'Shultis Faw'!$F$2/'Shultis Faw'!$A$2)</f>
        <v>14.39832</v>
      </c>
      <c r="N234" s="83">
        <f>J234*(H234*'Externe blootstelling'!$D$23/2)^K234+L234*(TANH(((H234*'Externe blootstelling'!$D$23)/(2*M234))-2)-TANH(-2))/(1-TANH(-2))</f>
        <v>1.2555807911368864</v>
      </c>
      <c r="O234" s="83">
        <f>IF(N234=1,1+(I234-1)*H234*'Externe blootstelling'!$D$23/2,1+(I234-1)*(N234^(H234*'Externe blootstelling'!$D$23/2)-1)/(N234-1))</f>
        <v>1.7396457837909483</v>
      </c>
      <c r="P234" s="67">
        <f>G234*EXP(-H234*'Externe blootstelling'!$D$23/2)*O234</f>
        <v>7.3993096290890525E-6</v>
      </c>
      <c r="Q234" s="68"/>
    </row>
    <row r="235" spans="1:17" x14ac:dyDescent="0.2">
      <c r="A235" s="217"/>
      <c r="B235" s="64" t="s">
        <v>104</v>
      </c>
      <c r="C235" s="66">
        <v>1.6435999999999999</v>
      </c>
      <c r="D235" s="66">
        <f t="shared" si="16"/>
        <v>2.6297599999999997E-13</v>
      </c>
      <c r="E235" s="66">
        <v>1.5E-5</v>
      </c>
      <c r="F235" s="66">
        <f>_xlfn.IFNA(INDEX('hp (pSv cm2)'!$B$2:$B$52,MATCH($C235,'hp (pSv cm2)'!$A$2:$A$52,1))+($C235-INDEX('hp (pSv cm2)'!$A$2:$A$52,MATCH($C235,'hp (pSv cm2)'!$A$2:$A$52,1)))*(INDEX('hp (pSv cm2)'!$B$2:$B$52,MATCH($C235,'hp (pSv cm2)'!$A$2:$A$52,1)+1)-INDEX('hp (pSv cm2)'!$B$2:$B$52,MATCH($C235,'hp (pSv cm2)'!$A$2:$A$52,1)))/(INDEX('hp (pSv cm2)'!$A$2:$A$52,MATCH($C235,'hp (pSv cm2)'!$A$2:$A$52,1)+1)-INDEX('hp (pSv cm2)'!$A$2:$A$52,MATCH($C235,'hp (pSv cm2)'!$A$2:$A$52,1))),$C235*'hp (pSv cm2)'!$B$2/'hp (pSv cm2)'!$A$2)</f>
        <v>6.5105919999999999</v>
      </c>
      <c r="G235" s="67">
        <f t="shared" si="17"/>
        <v>9.765888E-5</v>
      </c>
      <c r="H235" s="83">
        <f>_xlfn.IFNA(0.997*(INDEX('Mass attenuation coefficients'!$B$2:$B$37,MATCH($C235,'Mass attenuation coefficients'!$A$2:$A$37,1))+($C235-INDEX('Mass attenuation coefficients'!$A$2:$A$37,MATCH($C235,'Mass attenuation coefficients'!$A$2:$A$37,1)))*(INDEX('Mass attenuation coefficients'!$B$2:$B$37,MATCH($C235,'Mass attenuation coefficients'!$A$2:$A$37,1)+1)-INDEX('Mass attenuation coefficients'!$B$2:$B$37,MATCH($C235,'Mass attenuation coefficients'!$A$2:$A$37,1)))/(INDEX('Mass attenuation coefficients'!$A$2:$A$37,MATCH($C235,'Mass attenuation coefficients'!$A$2:$A$37,1)+1)-INDEX('Mass attenuation coefficients'!$A$2:$A$37,MATCH($C235,'Mass attenuation coefficients'!$A$2:$A$37,1)))),0.997*$C235*'Mass attenuation coefficients'!$B$2/'Mass attenuation coefficients'!$A$2)</f>
        <v>5.5042312192000002E-2</v>
      </c>
      <c r="I235" s="83">
        <f>_xlfn.IFNA(INDEX('Shultis Faw'!$C$2:$C$26,MATCH($C235,'Shultis Faw'!$A$2:$A$26,1))+($C235-INDEX('Shultis Faw'!$A$2:$A$26,MATCH($C235,'Shultis Faw'!$A$2:$A$26,1)))*(INDEX('Shultis Faw'!$C$2:$C$26,MATCH($C235,'Shultis Faw'!$A$2:$A$26,1)+1)-INDEX('Shultis Faw'!$C$2:$C$26,MATCH($C235,'Shultis Faw'!$A$2:$A$26,1)))/(INDEX('Shultis Faw'!$A$2:$A$26,MATCH($C235,'Shultis Faw'!$A$2:$A$26,1)+1)-INDEX('Shultis Faw'!$A$2:$A$26,MATCH($C235,'Shultis Faw'!$A$2:$A$26,1))),$C235*'Shultis Faw'!$C$2/'Shultis Faw'!$A$2)</f>
        <v>1.91028</v>
      </c>
      <c r="J235" s="83">
        <f>_xlfn.IFNA(INDEX('Shultis Faw'!$D$2:$D$26,MATCH($C235,'Shultis Faw'!$A$2:$A$26,1))+($C235-INDEX('Shultis Faw'!$A$2:$A$26,MATCH($C235,'Shultis Faw'!$A$2:$A$26,1)))*(INDEX('Shultis Faw'!$D$2:$D$26,MATCH($C235,'Shultis Faw'!$A$2:$A$26,1)+1)-INDEX('Shultis Faw'!$D$2:$D$26,MATCH($C235,'Shultis Faw'!$A$2:$A$26,1)))/(INDEX('Shultis Faw'!$A$2:$A$26,MATCH($C235,'Shultis Faw'!$A$2:$A$26,1)+1)-INDEX('Shultis Faw'!$A$2:$A$26,MATCH($C235,'Shultis Faw'!$A$2:$A$26,1))),$C235*'Shultis Faw'!$D$2/'Shultis Faw'!$A$2)</f>
        <v>1.2414288</v>
      </c>
      <c r="K235" s="83">
        <f>_xlfn.IFNA(INDEX('Shultis Faw'!$B$2:$B$26,MATCH($C235,'Shultis Faw'!$A$2:$A$26,1))+($C235-INDEX('Shultis Faw'!$A$2:$A$26,MATCH($C235,'Shultis Faw'!$A$2:$A$26,1)))*(INDEX('Shultis Faw'!$B$2:$B$26,MATCH($C235,'Shultis Faw'!$A$2:$A$26,1)+1)-INDEX('Shultis Faw'!$B$2:$B$26,MATCH($C235,'Shultis Faw'!$A$2:$A$26,1)))/(INDEX('Shultis Faw'!$A$2:$A$26,MATCH($C235,'Shultis Faw'!$A$2:$A$26,1)+1)-INDEX('Shultis Faw'!$A$2:$A$26,MATCH($C235,'Shultis Faw'!$A$2:$A$26,1))),$C235*'Shultis Faw'!$B$2/'Shultis Faw'!$A$2)</f>
        <v>-5.2543200000000005E-2</v>
      </c>
      <c r="L235" s="83">
        <f>_xlfn.IFNA(INDEX('Shultis Faw'!$E$2:$E$26,MATCH($C235,'Shultis Faw'!$A$2:$A$26,1))+($C235-INDEX('Shultis Faw'!$A$2:$A$26,MATCH($C235,'Shultis Faw'!$A$2:$A$26,1)))*(INDEX('Shultis Faw'!$E$2:$E$26,MATCH($C235,'Shultis Faw'!$A$2:$A$26,1)+1)-INDEX('Shultis Faw'!$E$2:$E$26,MATCH($C235,'Shultis Faw'!$A$2:$A$26,1)))/(INDEX('Shultis Faw'!$A$2:$A$26,MATCH($C235,'Shultis Faw'!$A$2:$A$26,1)+1)-INDEX('Shultis Faw'!$A$2:$A$26,MATCH($C235,'Shultis Faw'!$A$2:$A$26,1))),$C235*'Shultis Faw'!$E$2/'Shultis Faw'!$A$2)</f>
        <v>2.2158799999999999E-2</v>
      </c>
      <c r="M235" s="83">
        <f>_xlfn.IFNA(INDEX('Shultis Faw'!$F$2:$F$26,MATCH($C235,'Shultis Faw'!$A$2:$A$26,1))+($C235-INDEX('Shultis Faw'!$A$2:$A$26,MATCH($C235,'Shultis Faw'!$A$2:$A$26,1)))*(INDEX('Shultis Faw'!$F$2:$F$26,MATCH($C235,'Shultis Faw'!$A$2:$A$26,1)+1)-INDEX('Shultis Faw'!$F$2:$F$26,MATCH($C235,'Shultis Faw'!$A$2:$A$26,1)))/(INDEX('Shultis Faw'!$A$2:$A$26,MATCH($C235,'Shultis Faw'!$A$2:$A$26,1)+1)-INDEX('Shultis Faw'!$A$2:$A$26,MATCH($C235,'Shultis Faw'!$A$2:$A$26,1))),$C235*'Shultis Faw'!$F$2/'Shultis Faw'!$A$2)</f>
        <v>14.39076</v>
      </c>
      <c r="N235" s="83">
        <f>J235*(H235*'Externe blootstelling'!$D$23/2)^K235+L235*(TANH(((H235*'Externe blootstelling'!$D$23)/(2*M235))-2)-TANH(-2))/(1-TANH(-2))</f>
        <v>1.2540382716345839</v>
      </c>
      <c r="O235" s="83">
        <f>IF(N235=1,1+(I235-1)*H235*'Externe blootstelling'!$D$23/2,1+(I235-1)*(N235^(H235*'Externe blootstelling'!$D$23/2)-1)/(N235-1))</f>
        <v>1.7363714956211278</v>
      </c>
      <c r="P235" s="67">
        <f>G235*EXP(-H235*'Externe blootstelling'!$D$23/2)*O235</f>
        <v>7.4265276144857382E-5</v>
      </c>
      <c r="Q235" s="68"/>
    </row>
    <row r="236" spans="1:17" x14ac:dyDescent="0.2">
      <c r="A236" s="217"/>
      <c r="B236" s="64" t="s">
        <v>104</v>
      </c>
      <c r="C236" s="66">
        <v>1.64741</v>
      </c>
      <c r="D236" s="66">
        <f t="shared" si="16"/>
        <v>2.6358559999999997E-13</v>
      </c>
      <c r="E236" s="66">
        <v>6.3999999999999997E-5</v>
      </c>
      <c r="F236" s="66">
        <f>_xlfn.IFNA(INDEX('hp (pSv cm2)'!$B$2:$B$52,MATCH($C236,'hp (pSv cm2)'!$A$2:$A$52,1))+($C236-INDEX('hp (pSv cm2)'!$A$2:$A$52,MATCH($C236,'hp (pSv cm2)'!$A$2:$A$52,1)))*(INDEX('hp (pSv cm2)'!$B$2:$B$52,MATCH($C236,'hp (pSv cm2)'!$A$2:$A$52,1)+1)-INDEX('hp (pSv cm2)'!$B$2:$B$52,MATCH($C236,'hp (pSv cm2)'!$A$2:$A$52,1)))/(INDEX('hp (pSv cm2)'!$A$2:$A$52,MATCH($C236,'hp (pSv cm2)'!$A$2:$A$52,1)+1)-INDEX('hp (pSv cm2)'!$A$2:$A$52,MATCH($C236,'hp (pSv cm2)'!$A$2:$A$52,1))),$C236*'hp (pSv cm2)'!$B$2/'hp (pSv cm2)'!$A$2)</f>
        <v>6.5209552000000004</v>
      </c>
      <c r="G236" s="67">
        <f t="shared" si="17"/>
        <v>4.173411328E-4</v>
      </c>
      <c r="H236" s="83">
        <f>_xlfn.IFNA(0.997*(INDEX('Mass attenuation coefficients'!$B$2:$B$37,MATCH($C236,'Mass attenuation coefficients'!$A$2:$A$37,1))+($C236-INDEX('Mass attenuation coefficients'!$A$2:$A$37,MATCH($C236,'Mass attenuation coefficients'!$A$2:$A$37,1)))*(INDEX('Mass attenuation coefficients'!$B$2:$B$37,MATCH($C236,'Mass attenuation coefficients'!$A$2:$A$37,1)+1)-INDEX('Mass attenuation coefficients'!$B$2:$B$37,MATCH($C236,'Mass attenuation coefficients'!$A$2:$A$37,1)))/(INDEX('Mass attenuation coefficients'!$A$2:$A$37,MATCH($C236,'Mass attenuation coefficients'!$A$2:$A$37,1)+1)-INDEX('Mass attenuation coefficients'!$A$2:$A$37,MATCH($C236,'Mass attenuation coefficients'!$A$2:$A$37,1)))),0.997*$C236*'Mass attenuation coefficients'!$B$2/'Mass attenuation coefficients'!$A$2)</f>
        <v>5.4980623415199999E-2</v>
      </c>
      <c r="I236" s="83">
        <f>_xlfn.IFNA(INDEX('Shultis Faw'!$C$2:$C$26,MATCH($C236,'Shultis Faw'!$A$2:$A$26,1))+($C236-INDEX('Shultis Faw'!$A$2:$A$26,MATCH($C236,'Shultis Faw'!$A$2:$A$26,1)))*(INDEX('Shultis Faw'!$C$2:$C$26,MATCH($C236,'Shultis Faw'!$A$2:$A$26,1)+1)-INDEX('Shultis Faw'!$C$2:$C$26,MATCH($C236,'Shultis Faw'!$A$2:$A$26,1)))/(INDEX('Shultis Faw'!$A$2:$A$26,MATCH($C236,'Shultis Faw'!$A$2:$A$26,1)+1)-INDEX('Shultis Faw'!$A$2:$A$26,MATCH($C236,'Shultis Faw'!$A$2:$A$26,1))),$C236*'Shultis Faw'!$C$2/'Shultis Faw'!$A$2)</f>
        <v>1.909518</v>
      </c>
      <c r="J236" s="83">
        <f>_xlfn.IFNA(INDEX('Shultis Faw'!$D$2:$D$26,MATCH($C236,'Shultis Faw'!$A$2:$A$26,1))+($C236-INDEX('Shultis Faw'!$A$2:$A$26,MATCH($C236,'Shultis Faw'!$A$2:$A$26,1)))*(INDEX('Shultis Faw'!$D$2:$D$26,MATCH($C236,'Shultis Faw'!$A$2:$A$26,1)+1)-INDEX('Shultis Faw'!$D$2:$D$26,MATCH($C236,'Shultis Faw'!$A$2:$A$26,1)))/(INDEX('Shultis Faw'!$A$2:$A$26,MATCH($C236,'Shultis Faw'!$A$2:$A$26,1)+1)-INDEX('Shultis Faw'!$A$2:$A$26,MATCH($C236,'Shultis Faw'!$A$2:$A$26,1))),$C236*'Shultis Faw'!$D$2/'Shultis Faw'!$A$2)</f>
        <v>1.24069728</v>
      </c>
      <c r="K236" s="83">
        <f>_xlfn.IFNA(INDEX('Shultis Faw'!$B$2:$B$26,MATCH($C236,'Shultis Faw'!$A$2:$A$26,1))+($C236-INDEX('Shultis Faw'!$A$2:$A$26,MATCH($C236,'Shultis Faw'!$A$2:$A$26,1)))*(INDEX('Shultis Faw'!$B$2:$B$26,MATCH($C236,'Shultis Faw'!$A$2:$A$26,1)+1)-INDEX('Shultis Faw'!$B$2:$B$26,MATCH($C236,'Shultis Faw'!$A$2:$A$26,1)))/(INDEX('Shultis Faw'!$A$2:$A$26,MATCH($C236,'Shultis Faw'!$A$2:$A$26,1)+1)-INDEX('Shultis Faw'!$A$2:$A$26,MATCH($C236,'Shultis Faw'!$A$2:$A$26,1))),$C236*'Shultis Faw'!$B$2/'Shultis Faw'!$A$2)</f>
        <v>-5.2398420000000001E-2</v>
      </c>
      <c r="L236" s="83">
        <f>_xlfn.IFNA(INDEX('Shultis Faw'!$E$2:$E$26,MATCH($C236,'Shultis Faw'!$A$2:$A$26,1))+($C236-INDEX('Shultis Faw'!$A$2:$A$26,MATCH($C236,'Shultis Faw'!$A$2:$A$26,1)))*(INDEX('Shultis Faw'!$E$2:$E$26,MATCH($C236,'Shultis Faw'!$A$2:$A$26,1)+1)-INDEX('Shultis Faw'!$E$2:$E$26,MATCH($C236,'Shultis Faw'!$A$2:$A$26,1)))/(INDEX('Shultis Faw'!$A$2:$A$26,MATCH($C236,'Shultis Faw'!$A$2:$A$26,1)+1)-INDEX('Shultis Faw'!$A$2:$A$26,MATCH($C236,'Shultis Faw'!$A$2:$A$26,1))),$C236*'Shultis Faw'!$E$2/'Shultis Faw'!$A$2)</f>
        <v>2.2094030000000001E-2</v>
      </c>
      <c r="M236" s="83">
        <f>_xlfn.IFNA(INDEX('Shultis Faw'!$F$2:$F$26,MATCH($C236,'Shultis Faw'!$A$2:$A$26,1))+($C236-INDEX('Shultis Faw'!$A$2:$A$26,MATCH($C236,'Shultis Faw'!$A$2:$A$26,1)))*(INDEX('Shultis Faw'!$F$2:$F$26,MATCH($C236,'Shultis Faw'!$A$2:$A$26,1)+1)-INDEX('Shultis Faw'!$F$2:$F$26,MATCH($C236,'Shultis Faw'!$A$2:$A$26,1)))/(INDEX('Shultis Faw'!$A$2:$A$26,MATCH($C236,'Shultis Faw'!$A$2:$A$26,1)+1)-INDEX('Shultis Faw'!$A$2:$A$26,MATCH($C236,'Shultis Faw'!$A$2:$A$26,1))),$C236*'Shultis Faw'!$F$2/'Shultis Faw'!$A$2)</f>
        <v>14.387331</v>
      </c>
      <c r="N236" s="83">
        <f>J236*(H236*'Externe blootstelling'!$D$23/2)^K236+L236*(TANH(((H236*'Externe blootstelling'!$D$23)/(2*M236))-2)-TANH(-2))/(1-TANH(-2))</f>
        <v>1.253338037949902</v>
      </c>
      <c r="O236" s="83">
        <f>IF(N236=1,1+(I236-1)*H236*'Externe blootstelling'!$D$23/2,1+(I236-1)*(N236^(H236*'Externe blootstelling'!$D$23/2)-1)/(N236-1))</f>
        <v>1.7348895585135975</v>
      </c>
      <c r="P236" s="67">
        <f>G236*EXP(-H236*'Externe blootstelling'!$D$23/2)*O236</f>
        <v>3.1739223923710425E-4</v>
      </c>
      <c r="Q236" s="68"/>
    </row>
    <row r="237" spans="1:17" x14ac:dyDescent="0.2">
      <c r="A237" s="217"/>
      <c r="B237" s="64" t="s">
        <v>104</v>
      </c>
      <c r="C237" s="66">
        <v>1.6742999999999999</v>
      </c>
      <c r="D237" s="66">
        <f t="shared" si="16"/>
        <v>2.6788799999999999E-13</v>
      </c>
      <c r="E237" s="66">
        <v>6.0000000000000002E-5</v>
      </c>
      <c r="F237" s="66">
        <f>_xlfn.IFNA(INDEX('hp (pSv cm2)'!$B$2:$B$52,MATCH($C237,'hp (pSv cm2)'!$A$2:$A$52,1))+($C237-INDEX('hp (pSv cm2)'!$A$2:$A$52,MATCH($C237,'hp (pSv cm2)'!$A$2:$A$52,1)))*(INDEX('hp (pSv cm2)'!$B$2:$B$52,MATCH($C237,'hp (pSv cm2)'!$A$2:$A$52,1)+1)-INDEX('hp (pSv cm2)'!$B$2:$B$52,MATCH($C237,'hp (pSv cm2)'!$A$2:$A$52,1)))/(INDEX('hp (pSv cm2)'!$A$2:$A$52,MATCH($C237,'hp (pSv cm2)'!$A$2:$A$52,1)+1)-INDEX('hp (pSv cm2)'!$A$2:$A$52,MATCH($C237,'hp (pSv cm2)'!$A$2:$A$52,1))),$C237*'hp (pSv cm2)'!$B$2/'hp (pSv cm2)'!$A$2)</f>
        <v>6.5940960000000004</v>
      </c>
      <c r="G237" s="67">
        <f t="shared" si="17"/>
        <v>3.9564576000000002E-4</v>
      </c>
      <c r="H237" s="83">
        <f>_xlfn.IFNA(0.997*(INDEX('Mass attenuation coefficients'!$B$2:$B$37,MATCH($C237,'Mass attenuation coefficients'!$A$2:$A$37,1))+($C237-INDEX('Mass attenuation coefficients'!$A$2:$A$37,MATCH($C237,'Mass attenuation coefficients'!$A$2:$A$37,1)))*(INDEX('Mass attenuation coefficients'!$B$2:$B$37,MATCH($C237,'Mass attenuation coefficients'!$A$2:$A$37,1)+1)-INDEX('Mass attenuation coefficients'!$B$2:$B$37,MATCH($C237,'Mass attenuation coefficients'!$A$2:$A$37,1)))/(INDEX('Mass attenuation coefficients'!$A$2:$A$37,MATCH($C237,'Mass attenuation coefficients'!$A$2:$A$37,1)+1)-INDEX('Mass attenuation coefficients'!$A$2:$A$37,MATCH($C237,'Mass attenuation coefficients'!$A$2:$A$37,1)))),0.997*$C237*'Mass attenuation coefficients'!$B$2/'Mass attenuation coefficients'!$A$2)</f>
        <v>5.4545239895999999E-2</v>
      </c>
      <c r="I237" s="83">
        <f>_xlfn.IFNA(INDEX('Shultis Faw'!$C$2:$C$26,MATCH($C237,'Shultis Faw'!$A$2:$A$26,1))+($C237-INDEX('Shultis Faw'!$A$2:$A$26,MATCH($C237,'Shultis Faw'!$A$2:$A$26,1)))*(INDEX('Shultis Faw'!$C$2:$C$26,MATCH($C237,'Shultis Faw'!$A$2:$A$26,1)+1)-INDEX('Shultis Faw'!$C$2:$C$26,MATCH($C237,'Shultis Faw'!$A$2:$A$26,1)))/(INDEX('Shultis Faw'!$A$2:$A$26,MATCH($C237,'Shultis Faw'!$A$2:$A$26,1)+1)-INDEX('Shultis Faw'!$A$2:$A$26,MATCH($C237,'Shultis Faw'!$A$2:$A$26,1))),$C237*'Shultis Faw'!$C$2/'Shultis Faw'!$A$2)</f>
        <v>1.9041399999999999</v>
      </c>
      <c r="J237" s="83">
        <f>_xlfn.IFNA(INDEX('Shultis Faw'!$D$2:$D$26,MATCH($C237,'Shultis Faw'!$A$2:$A$26,1))+($C237-INDEX('Shultis Faw'!$A$2:$A$26,MATCH($C237,'Shultis Faw'!$A$2:$A$26,1)))*(INDEX('Shultis Faw'!$D$2:$D$26,MATCH($C237,'Shultis Faw'!$A$2:$A$26,1)+1)-INDEX('Shultis Faw'!$D$2:$D$26,MATCH($C237,'Shultis Faw'!$A$2:$A$26,1)))/(INDEX('Shultis Faw'!$A$2:$A$26,MATCH($C237,'Shultis Faw'!$A$2:$A$26,1)+1)-INDEX('Shultis Faw'!$A$2:$A$26,MATCH($C237,'Shultis Faw'!$A$2:$A$26,1))),$C237*'Shultis Faw'!$D$2/'Shultis Faw'!$A$2)</f>
        <v>1.2355343999999999</v>
      </c>
      <c r="K237" s="83">
        <f>_xlfn.IFNA(INDEX('Shultis Faw'!$B$2:$B$26,MATCH($C237,'Shultis Faw'!$A$2:$A$26,1))+($C237-INDEX('Shultis Faw'!$A$2:$A$26,MATCH($C237,'Shultis Faw'!$A$2:$A$26,1)))*(INDEX('Shultis Faw'!$B$2:$B$26,MATCH($C237,'Shultis Faw'!$A$2:$A$26,1)+1)-INDEX('Shultis Faw'!$B$2:$B$26,MATCH($C237,'Shultis Faw'!$A$2:$A$26,1)))/(INDEX('Shultis Faw'!$A$2:$A$26,MATCH($C237,'Shultis Faw'!$A$2:$A$26,1)+1)-INDEX('Shultis Faw'!$A$2:$A$26,MATCH($C237,'Shultis Faw'!$A$2:$A$26,1))),$C237*'Shultis Faw'!$B$2/'Shultis Faw'!$A$2)</f>
        <v>-5.1376600000000008E-2</v>
      </c>
      <c r="L237" s="83">
        <f>_xlfn.IFNA(INDEX('Shultis Faw'!$E$2:$E$26,MATCH($C237,'Shultis Faw'!$A$2:$A$26,1))+($C237-INDEX('Shultis Faw'!$A$2:$A$26,MATCH($C237,'Shultis Faw'!$A$2:$A$26,1)))*(INDEX('Shultis Faw'!$E$2:$E$26,MATCH($C237,'Shultis Faw'!$A$2:$A$26,1)+1)-INDEX('Shultis Faw'!$E$2:$E$26,MATCH($C237,'Shultis Faw'!$A$2:$A$26,1)))/(INDEX('Shultis Faw'!$A$2:$A$26,MATCH($C237,'Shultis Faw'!$A$2:$A$26,1)+1)-INDEX('Shultis Faw'!$A$2:$A$26,MATCH($C237,'Shultis Faw'!$A$2:$A$26,1))),$C237*'Shultis Faw'!$E$2/'Shultis Faw'!$A$2)</f>
        <v>2.1636900000000001E-2</v>
      </c>
      <c r="M237" s="83">
        <f>_xlfn.IFNA(INDEX('Shultis Faw'!$F$2:$F$26,MATCH($C237,'Shultis Faw'!$A$2:$A$26,1))+($C237-INDEX('Shultis Faw'!$A$2:$A$26,MATCH($C237,'Shultis Faw'!$A$2:$A$26,1)))*(INDEX('Shultis Faw'!$F$2:$F$26,MATCH($C237,'Shultis Faw'!$A$2:$A$26,1)+1)-INDEX('Shultis Faw'!$F$2:$F$26,MATCH($C237,'Shultis Faw'!$A$2:$A$26,1)))/(INDEX('Shultis Faw'!$A$2:$A$26,MATCH($C237,'Shultis Faw'!$A$2:$A$26,1)+1)-INDEX('Shultis Faw'!$A$2:$A$26,MATCH($C237,'Shultis Faw'!$A$2:$A$26,1))),$C237*'Shultis Faw'!$F$2/'Shultis Faw'!$A$2)</f>
        <v>14.36313</v>
      </c>
      <c r="N237" s="83">
        <f>J237*(H237*'Externe blootstelling'!$D$23/2)^K237+L237*(TANH(((H237*'Externe blootstelling'!$D$23)/(2*M237))-2)-TANH(-2))/(1-TANH(-2))</f>
        <v>1.2483854868146507</v>
      </c>
      <c r="O237" s="83">
        <f>IF(N237=1,1+(I237-1)*H237*'Externe blootstelling'!$D$23/2,1+(I237-1)*(N237^(H237*'Externe blootstelling'!$D$23/2)-1)/(N237-1))</f>
        <v>1.7244867446123107</v>
      </c>
      <c r="P237" s="67">
        <f>G237*EXP(-H237*'Externe blootstelling'!$D$23/2)*O237</f>
        <v>3.0104812445213452E-4</v>
      </c>
      <c r="Q237" s="68"/>
    </row>
    <row r="238" spans="1:17" x14ac:dyDescent="0.2">
      <c r="A238" s="217"/>
      <c r="B238" s="64" t="s">
        <v>104</v>
      </c>
      <c r="C238" s="66">
        <v>1.7690899999999998</v>
      </c>
      <c r="D238" s="66">
        <f t="shared" si="16"/>
        <v>2.8305439999999996E-13</v>
      </c>
      <c r="E238" s="66">
        <v>9.2E-5</v>
      </c>
      <c r="F238" s="66">
        <f>_xlfn.IFNA(INDEX('hp (pSv cm2)'!$B$2:$B$52,MATCH($C238,'hp (pSv cm2)'!$A$2:$A$52,1))+($C238-INDEX('hp (pSv cm2)'!$A$2:$A$52,MATCH($C238,'hp (pSv cm2)'!$A$2:$A$52,1)))*(INDEX('hp (pSv cm2)'!$B$2:$B$52,MATCH($C238,'hp (pSv cm2)'!$A$2:$A$52,1)+1)-INDEX('hp (pSv cm2)'!$B$2:$B$52,MATCH($C238,'hp (pSv cm2)'!$A$2:$A$52,1)))/(INDEX('hp (pSv cm2)'!$A$2:$A$52,MATCH($C238,'hp (pSv cm2)'!$A$2:$A$52,1)+1)-INDEX('hp (pSv cm2)'!$A$2:$A$52,MATCH($C238,'hp (pSv cm2)'!$A$2:$A$52,1))),$C238*'hp (pSv cm2)'!$B$2/'hp (pSv cm2)'!$A$2)</f>
        <v>6.8519247999999999</v>
      </c>
      <c r="G238" s="67">
        <f t="shared" si="17"/>
        <v>6.3037708159999998E-4</v>
      </c>
      <c r="H238" s="83">
        <f>_xlfn.IFNA(0.997*(INDEX('Mass attenuation coefficients'!$B$2:$B$37,MATCH($C238,'Mass attenuation coefficients'!$A$2:$A$37,1))+($C238-INDEX('Mass attenuation coefficients'!$A$2:$A$37,MATCH($C238,'Mass attenuation coefficients'!$A$2:$A$37,1)))*(INDEX('Mass attenuation coefficients'!$B$2:$B$37,MATCH($C238,'Mass attenuation coefficients'!$A$2:$A$37,1)+1)-INDEX('Mass attenuation coefficients'!$B$2:$B$37,MATCH($C238,'Mass attenuation coefficients'!$A$2:$A$37,1)))/(INDEX('Mass attenuation coefficients'!$A$2:$A$37,MATCH($C238,'Mass attenuation coefficients'!$A$2:$A$37,1)+1)-INDEX('Mass attenuation coefficients'!$A$2:$A$37,MATCH($C238,'Mass attenuation coefficients'!$A$2:$A$37,1)))),0.997*$C238*'Mass attenuation coefficients'!$B$2/'Mass attenuation coefficients'!$A$2)</f>
        <v>5.3010468464800002E-2</v>
      </c>
      <c r="I238" s="83">
        <f>_xlfn.IFNA(INDEX('Shultis Faw'!$C$2:$C$26,MATCH($C238,'Shultis Faw'!$A$2:$A$26,1))+($C238-INDEX('Shultis Faw'!$A$2:$A$26,MATCH($C238,'Shultis Faw'!$A$2:$A$26,1)))*(INDEX('Shultis Faw'!$C$2:$C$26,MATCH($C238,'Shultis Faw'!$A$2:$A$26,1)+1)-INDEX('Shultis Faw'!$C$2:$C$26,MATCH($C238,'Shultis Faw'!$A$2:$A$26,1)))/(INDEX('Shultis Faw'!$A$2:$A$26,MATCH($C238,'Shultis Faw'!$A$2:$A$26,1)+1)-INDEX('Shultis Faw'!$A$2:$A$26,MATCH($C238,'Shultis Faw'!$A$2:$A$26,1))),$C238*'Shultis Faw'!$C$2/'Shultis Faw'!$A$2)</f>
        <v>1.8851820000000001</v>
      </c>
      <c r="J238" s="83">
        <f>_xlfn.IFNA(INDEX('Shultis Faw'!$D$2:$D$26,MATCH($C238,'Shultis Faw'!$A$2:$A$26,1))+($C238-INDEX('Shultis Faw'!$A$2:$A$26,MATCH($C238,'Shultis Faw'!$A$2:$A$26,1)))*(INDEX('Shultis Faw'!$D$2:$D$26,MATCH($C238,'Shultis Faw'!$A$2:$A$26,1)+1)-INDEX('Shultis Faw'!$D$2:$D$26,MATCH($C238,'Shultis Faw'!$A$2:$A$26,1)))/(INDEX('Shultis Faw'!$A$2:$A$26,MATCH($C238,'Shultis Faw'!$A$2:$A$26,1)+1)-INDEX('Shultis Faw'!$A$2:$A$26,MATCH($C238,'Shultis Faw'!$A$2:$A$26,1))),$C238*'Shultis Faw'!$D$2/'Shultis Faw'!$A$2)</f>
        <v>1.21733472</v>
      </c>
      <c r="K238" s="83">
        <f>_xlfn.IFNA(INDEX('Shultis Faw'!$B$2:$B$26,MATCH($C238,'Shultis Faw'!$A$2:$A$26,1))+($C238-INDEX('Shultis Faw'!$A$2:$A$26,MATCH($C238,'Shultis Faw'!$A$2:$A$26,1)))*(INDEX('Shultis Faw'!$B$2:$B$26,MATCH($C238,'Shultis Faw'!$A$2:$A$26,1)+1)-INDEX('Shultis Faw'!$B$2:$B$26,MATCH($C238,'Shultis Faw'!$A$2:$A$26,1)))/(INDEX('Shultis Faw'!$A$2:$A$26,MATCH($C238,'Shultis Faw'!$A$2:$A$26,1)+1)-INDEX('Shultis Faw'!$A$2:$A$26,MATCH($C238,'Shultis Faw'!$A$2:$A$26,1))),$C238*'Shultis Faw'!$B$2/'Shultis Faw'!$A$2)</f>
        <v>-4.7774580000000011E-2</v>
      </c>
      <c r="L238" s="83">
        <f>_xlfn.IFNA(INDEX('Shultis Faw'!$E$2:$E$26,MATCH($C238,'Shultis Faw'!$A$2:$A$26,1))+($C238-INDEX('Shultis Faw'!$A$2:$A$26,MATCH($C238,'Shultis Faw'!$A$2:$A$26,1)))*(INDEX('Shultis Faw'!$E$2:$E$26,MATCH($C238,'Shultis Faw'!$A$2:$A$26,1)+1)-INDEX('Shultis Faw'!$E$2:$E$26,MATCH($C238,'Shultis Faw'!$A$2:$A$26,1)))/(INDEX('Shultis Faw'!$A$2:$A$26,MATCH($C238,'Shultis Faw'!$A$2:$A$26,1)+1)-INDEX('Shultis Faw'!$A$2:$A$26,MATCH($C238,'Shultis Faw'!$A$2:$A$26,1))),$C238*'Shultis Faw'!$E$2/'Shultis Faw'!$A$2)</f>
        <v>2.0025470000000004E-2</v>
      </c>
      <c r="M238" s="83">
        <f>_xlfn.IFNA(INDEX('Shultis Faw'!$F$2:$F$26,MATCH($C238,'Shultis Faw'!$A$2:$A$26,1))+($C238-INDEX('Shultis Faw'!$A$2:$A$26,MATCH($C238,'Shultis Faw'!$A$2:$A$26,1)))*(INDEX('Shultis Faw'!$F$2:$F$26,MATCH($C238,'Shultis Faw'!$A$2:$A$26,1)+1)-INDEX('Shultis Faw'!$F$2:$F$26,MATCH($C238,'Shultis Faw'!$A$2:$A$26,1)))/(INDEX('Shultis Faw'!$A$2:$A$26,MATCH($C238,'Shultis Faw'!$A$2:$A$26,1)+1)-INDEX('Shultis Faw'!$A$2:$A$26,MATCH($C238,'Shultis Faw'!$A$2:$A$26,1))),$C238*'Shultis Faw'!$F$2/'Shultis Faw'!$A$2)</f>
        <v>14.277819000000001</v>
      </c>
      <c r="N238" s="83">
        <f>J238*(H238*'Externe blootstelling'!$D$23/2)^K238+L238*(TANH(((H238*'Externe blootstelling'!$D$23)/(2*M238))-2)-TANH(-2))/(1-TANH(-2))</f>
        <v>1.2307809708030344</v>
      </c>
      <c r="O238" s="83">
        <f>IF(N238=1,1+(I238-1)*H238*'Externe blootstelling'!$D$23/2,1+(I238-1)*(N238^(H238*'Externe blootstelling'!$D$23/2)-1)/(N238-1))</f>
        <v>1.6885924837279376</v>
      </c>
      <c r="P238" s="67">
        <f>G238*EXP(-H238*'Externe blootstelling'!$D$23/2)*O238</f>
        <v>4.8061017168761678E-4</v>
      </c>
      <c r="Q238" s="68"/>
    </row>
    <row r="239" spans="1:17" x14ac:dyDescent="0.2">
      <c r="A239" s="218"/>
      <c r="B239" s="64"/>
      <c r="C239" s="66"/>
      <c r="D239" s="66"/>
      <c r="E239" s="66"/>
      <c r="F239" s="66"/>
      <c r="G239" s="67"/>
      <c r="H239" s="83"/>
      <c r="I239" s="83"/>
      <c r="J239" s="83"/>
      <c r="K239" s="83"/>
      <c r="L239" s="83"/>
      <c r="M239" s="83"/>
      <c r="N239" s="83"/>
      <c r="O239" s="83"/>
      <c r="P239" s="67"/>
      <c r="Q239" s="67">
        <f>SUM(P100:P238)/SUM(G100:G238)</f>
        <v>0.77232009129535695</v>
      </c>
    </row>
    <row r="240" spans="1:17" s="62" customFormat="1" x14ac:dyDescent="0.2">
      <c r="A240" s="69"/>
      <c r="B240" s="70"/>
      <c r="C240" s="71"/>
      <c r="D240" s="71"/>
      <c r="E240" s="71"/>
      <c r="F240" s="71"/>
      <c r="G240" s="73"/>
      <c r="H240" s="84"/>
      <c r="I240" s="84"/>
      <c r="J240" s="84"/>
      <c r="K240" s="84"/>
      <c r="L240" s="84"/>
      <c r="M240" s="84"/>
      <c r="N240" s="84"/>
      <c r="O240" s="84"/>
      <c r="P240" s="73"/>
      <c r="Q240" s="73"/>
    </row>
    <row r="241" spans="1:17" x14ac:dyDescent="0.2">
      <c r="A241" s="216" t="s">
        <v>145</v>
      </c>
      <c r="B241" s="64" t="s">
        <v>102</v>
      </c>
      <c r="C241" s="66">
        <v>6.2399999999999999E-3</v>
      </c>
      <c r="D241" s="66">
        <f t="shared" ref="D241:D272" si="18">C241*1000000*1.6E-19</f>
        <v>9.9840000000000001E-16</v>
      </c>
      <c r="E241" s="66">
        <v>4.4000000000000006E-5</v>
      </c>
      <c r="F241" s="66">
        <f>_xlfn.IFNA(INDEX('hp (pSv cm2)'!$B$2:$B$52,MATCH($C241,'hp (pSv cm2)'!$A$2:$A$52,1))+($C241-INDEX('hp (pSv cm2)'!$A$2:$A$52,MATCH($C241,'hp (pSv cm2)'!$A$2:$A$52,1)))*(INDEX('hp (pSv cm2)'!$B$2:$B$52,MATCH($C241,'hp (pSv cm2)'!$A$2:$A$52,1)+1)-INDEX('hp (pSv cm2)'!$B$2:$B$52,MATCH($C241,'hp (pSv cm2)'!$A$2:$A$52,1)))/(INDEX('hp (pSv cm2)'!$A$2:$A$52,MATCH($C241,'hp (pSv cm2)'!$A$2:$A$52,1)+1)-INDEX('hp (pSv cm2)'!$A$2:$A$52,MATCH($C241,'hp (pSv cm2)'!$A$2:$A$52,1))),$C241*'hp (pSv cm2)'!$B$2/'hp (pSv cm2)'!$A$2)</f>
        <v>1.8015999999999997E-2</v>
      </c>
      <c r="G241" s="67">
        <f t="shared" ref="G241:G272" si="19">F241*E241</f>
        <v>7.9270399999999995E-7</v>
      </c>
      <c r="H241" s="83">
        <f>_xlfn.IFNA(0.997*(INDEX('Mass attenuation coefficients'!$B$2:$B$37,MATCH($C241,'Mass attenuation coefficients'!$A$2:$A$37,1))+($C241-INDEX('Mass attenuation coefficients'!$A$2:$A$37,MATCH($C241,'Mass attenuation coefficients'!$A$2:$A$37,1)))*(INDEX('Mass attenuation coefficients'!$B$2:$B$37,MATCH($C241,'Mass attenuation coefficients'!$A$2:$A$37,1)+1)-INDEX('Mass attenuation coefficients'!$B$2:$B$37,MATCH($C241,'Mass attenuation coefficients'!$A$2:$A$37,1)))/(INDEX('Mass attenuation coefficients'!$A$2:$A$37,MATCH($C241,'Mass attenuation coefficients'!$A$2:$A$37,1)+1)-INDEX('Mass attenuation coefficients'!$A$2:$A$37,MATCH($C241,'Mass attenuation coefficients'!$A$2:$A$37,1)))),0.997*$C241*'Mass attenuation coefficients'!$B$2/'Mass attenuation coefficients'!$A$2)</f>
        <v>22.858817200000001</v>
      </c>
      <c r="I241" s="83">
        <f>_xlfn.IFNA(INDEX('Shultis Faw'!$C$2:$C$26,MATCH($C241,'Shultis Faw'!$A$2:$A$26,1))+($C241-INDEX('Shultis Faw'!$A$2:$A$26,MATCH($C241,'Shultis Faw'!$A$2:$A$26,1)))*(INDEX('Shultis Faw'!$C$2:$C$26,MATCH($C241,'Shultis Faw'!$A$2:$A$26,1)+1)-INDEX('Shultis Faw'!$C$2:$C$26,MATCH($C241,'Shultis Faw'!$A$2:$A$26,1)))/(INDEX('Shultis Faw'!$A$2:$A$26,MATCH($C241,'Shultis Faw'!$A$2:$A$26,1)+1)-INDEX('Shultis Faw'!$A$2:$A$26,MATCH($C241,'Shultis Faw'!$A$2:$A$26,1))),$C241*'Shultis Faw'!$C$2/'Shultis Faw'!$A$2)</f>
        <v>0.49171200000000004</v>
      </c>
      <c r="J241" s="83">
        <f>_xlfn.IFNA(INDEX('Shultis Faw'!$D$2:$D$26,MATCH($C241,'Shultis Faw'!$A$2:$A$26,1))+($C241-INDEX('Shultis Faw'!$A$2:$A$26,MATCH($C241,'Shultis Faw'!$A$2:$A$26,1)))*(INDEX('Shultis Faw'!$D$2:$D$26,MATCH($C241,'Shultis Faw'!$A$2:$A$26,1)+1)-INDEX('Shultis Faw'!$D$2:$D$26,MATCH($C241,'Shultis Faw'!$A$2:$A$26,1)))/(INDEX('Shultis Faw'!$A$2:$A$26,MATCH($C241,'Shultis Faw'!$A$2:$A$26,1)+1)-INDEX('Shultis Faw'!$A$2:$A$26,MATCH($C241,'Shultis Faw'!$A$2:$A$26,1))),$C241*'Shultis Faw'!$D$2/'Shultis Faw'!$A$2)</f>
        <v>0.19260800000000003</v>
      </c>
      <c r="K241" s="83">
        <f>_xlfn.IFNA(INDEX('Shultis Faw'!$B$2:$B$26,MATCH($C241,'Shultis Faw'!$A$2:$A$26,1))+($C241-INDEX('Shultis Faw'!$A$2:$A$26,MATCH($C241,'Shultis Faw'!$A$2:$A$26,1)))*(INDEX('Shultis Faw'!$B$2:$B$26,MATCH($C241,'Shultis Faw'!$A$2:$A$26,1)+1)-INDEX('Shultis Faw'!$B$2:$B$26,MATCH($C241,'Shultis Faw'!$A$2:$A$26,1)))/(INDEX('Shultis Faw'!$A$2:$A$26,MATCH($C241,'Shultis Faw'!$A$2:$A$26,1)+1)-INDEX('Shultis Faw'!$A$2:$A$26,MATCH($C241,'Shultis Faw'!$A$2:$A$26,1))),$C241*'Shultis Faw'!$B$2/'Shultis Faw'!$A$2)</f>
        <v>7.1551999999999991E-2</v>
      </c>
      <c r="L241" s="83">
        <f>_xlfn.IFNA(INDEX('Shultis Faw'!$E$2:$E$26,MATCH($C241,'Shultis Faw'!$A$2:$A$26,1))+($C241-INDEX('Shultis Faw'!$A$2:$A$26,MATCH($C241,'Shultis Faw'!$A$2:$A$26,1)))*(INDEX('Shultis Faw'!$E$2:$E$26,MATCH($C241,'Shultis Faw'!$A$2:$A$26,1)+1)-INDEX('Shultis Faw'!$E$2:$E$26,MATCH($C241,'Shultis Faw'!$A$2:$A$26,1)))/(INDEX('Shultis Faw'!$A$2:$A$26,MATCH($C241,'Shultis Faw'!$A$2:$A$26,1)+1)-INDEX('Shultis Faw'!$A$2:$A$26,MATCH($C241,'Shultis Faw'!$A$2:$A$26,1))),$C241*'Shultis Faw'!$E$2/'Shultis Faw'!$A$2)</f>
        <v>-3.7772800000000002E-2</v>
      </c>
      <c r="M241" s="83">
        <f>_xlfn.IFNA(INDEX('Shultis Faw'!$F$2:$F$26,MATCH($C241,'Shultis Faw'!$A$2:$A$26,1))+($C241-INDEX('Shultis Faw'!$A$2:$A$26,MATCH($C241,'Shultis Faw'!$A$2:$A$26,1)))*(INDEX('Shultis Faw'!$F$2:$F$26,MATCH($C241,'Shultis Faw'!$A$2:$A$26,1)+1)-INDEX('Shultis Faw'!$F$2:$F$26,MATCH($C241,'Shultis Faw'!$A$2:$A$26,1)))/(INDEX('Shultis Faw'!$A$2:$A$26,MATCH($C241,'Shultis Faw'!$A$2:$A$26,1)+1)-INDEX('Shultis Faw'!$A$2:$A$26,MATCH($C241,'Shultis Faw'!$A$2:$A$26,1))),$C241*'Shultis Faw'!$F$2/'Shultis Faw'!$A$2)</f>
        <v>5.9196800000000005</v>
      </c>
      <c r="N241" s="83">
        <f>J241*(H241*'Externe blootstelling'!$D$23/2)^K241+L241*(TANH(((H241*'Externe blootstelling'!$D$23)/(2*M241))-2)-TANH(-2))/(1-TANH(-2))</f>
        <v>0.2546889118272655</v>
      </c>
      <c r="O241" s="83">
        <f>IF(N241=1,1+(I241-1)*H241*'Externe blootstelling'!$D$23/2,1+(I241-1)*(N241^(H241*'Externe blootstelling'!$D$23/2)-1)/(N241-1))</f>
        <v>0.31801900164109953</v>
      </c>
      <c r="P241" s="67">
        <f>G241*EXP(-H241*'Externe blootstelling'!$D$23/2)*O241</f>
        <v>3.0881012245664172E-156</v>
      </c>
      <c r="Q241" s="68"/>
    </row>
    <row r="242" spans="1:17" x14ac:dyDescent="0.2">
      <c r="A242" s="217"/>
      <c r="B242" s="64" t="s">
        <v>102</v>
      </c>
      <c r="C242" s="66">
        <v>6.7325499999999995E-3</v>
      </c>
      <c r="D242" s="66">
        <f t="shared" si="18"/>
        <v>1.0772079999999998E-15</v>
      </c>
      <c r="E242" s="66">
        <v>7.0999999999999994E-2</v>
      </c>
      <c r="F242" s="66">
        <f>_xlfn.IFNA(INDEX('hp (pSv cm2)'!$B$2:$B$52,MATCH($C242,'hp (pSv cm2)'!$A$2:$A$52,1))+($C242-INDEX('hp (pSv cm2)'!$A$2:$A$52,MATCH($C242,'hp (pSv cm2)'!$A$2:$A$52,1)))*(INDEX('hp (pSv cm2)'!$B$2:$B$52,MATCH($C242,'hp (pSv cm2)'!$A$2:$A$52,1)+1)-INDEX('hp (pSv cm2)'!$B$2:$B$52,MATCH($C242,'hp (pSv cm2)'!$A$2:$A$52,1)))/(INDEX('hp (pSv cm2)'!$A$2:$A$52,MATCH($C242,'hp (pSv cm2)'!$A$2:$A$52,1)+1)-INDEX('hp (pSv cm2)'!$A$2:$A$52,MATCH($C242,'hp (pSv cm2)'!$A$2:$A$52,1))),$C242*'hp (pSv cm2)'!$B$2/'hp (pSv cm2)'!$A$2)</f>
        <v>2.0922044999999997E-2</v>
      </c>
      <c r="G242" s="67">
        <f t="shared" si="19"/>
        <v>1.4854651949999997E-3</v>
      </c>
      <c r="H242" s="83">
        <f>_xlfn.IFNA(0.997*(INDEX('Mass attenuation coefficients'!$B$2:$B$37,MATCH($C242,'Mass attenuation coefficients'!$A$2:$A$37,1))+($C242-INDEX('Mass attenuation coefficients'!$A$2:$A$37,MATCH($C242,'Mass attenuation coefficients'!$A$2:$A$37,1)))*(INDEX('Mass attenuation coefficients'!$B$2:$B$37,MATCH($C242,'Mass attenuation coefficients'!$A$2:$A$37,1)+1)-INDEX('Mass attenuation coefficients'!$B$2:$B$37,MATCH($C242,'Mass attenuation coefficients'!$A$2:$A$37,1)))/(INDEX('Mass attenuation coefficients'!$A$2:$A$37,MATCH($C242,'Mass attenuation coefficients'!$A$2:$A$37,1)+1)-INDEX('Mass attenuation coefficients'!$A$2:$A$37,MATCH($C242,'Mass attenuation coefficients'!$A$2:$A$37,1)))),0.997*$C242*'Mass attenuation coefficients'!$B$2/'Mass attenuation coefficients'!$A$2)</f>
        <v>19.355015982750004</v>
      </c>
      <c r="I242" s="83">
        <f>_xlfn.IFNA(INDEX('Shultis Faw'!$C$2:$C$26,MATCH($C242,'Shultis Faw'!$A$2:$A$26,1))+($C242-INDEX('Shultis Faw'!$A$2:$A$26,MATCH($C242,'Shultis Faw'!$A$2:$A$26,1)))*(INDEX('Shultis Faw'!$C$2:$C$26,MATCH($C242,'Shultis Faw'!$A$2:$A$26,1)+1)-INDEX('Shultis Faw'!$C$2:$C$26,MATCH($C242,'Shultis Faw'!$A$2:$A$26,1)))/(INDEX('Shultis Faw'!$A$2:$A$26,MATCH($C242,'Shultis Faw'!$A$2:$A$26,1)+1)-INDEX('Shultis Faw'!$A$2:$A$26,MATCH($C242,'Shultis Faw'!$A$2:$A$26,1))),$C242*'Shultis Faw'!$C$2/'Shultis Faw'!$A$2)</f>
        <v>0.53052494000000006</v>
      </c>
      <c r="J242" s="83">
        <f>_xlfn.IFNA(INDEX('Shultis Faw'!$D$2:$D$26,MATCH($C242,'Shultis Faw'!$A$2:$A$26,1))+($C242-INDEX('Shultis Faw'!$A$2:$A$26,MATCH($C242,'Shultis Faw'!$A$2:$A$26,1)))*(INDEX('Shultis Faw'!$D$2:$D$26,MATCH($C242,'Shultis Faw'!$A$2:$A$26,1)+1)-INDEX('Shultis Faw'!$D$2:$D$26,MATCH($C242,'Shultis Faw'!$A$2:$A$26,1)))/(INDEX('Shultis Faw'!$A$2:$A$26,MATCH($C242,'Shultis Faw'!$A$2:$A$26,1)+1)-INDEX('Shultis Faw'!$A$2:$A$26,MATCH($C242,'Shultis Faw'!$A$2:$A$26,1))),$C242*'Shultis Faw'!$D$2/'Shultis Faw'!$A$2)</f>
        <v>0.20781137666666666</v>
      </c>
      <c r="K242" s="83">
        <f>_xlfn.IFNA(INDEX('Shultis Faw'!$B$2:$B$26,MATCH($C242,'Shultis Faw'!$A$2:$A$26,1))+($C242-INDEX('Shultis Faw'!$A$2:$A$26,MATCH($C242,'Shultis Faw'!$A$2:$A$26,1)))*(INDEX('Shultis Faw'!$B$2:$B$26,MATCH($C242,'Shultis Faw'!$A$2:$A$26,1)+1)-INDEX('Shultis Faw'!$B$2:$B$26,MATCH($C242,'Shultis Faw'!$A$2:$A$26,1)))/(INDEX('Shultis Faw'!$A$2:$A$26,MATCH($C242,'Shultis Faw'!$A$2:$A$26,1)+1)-INDEX('Shultis Faw'!$A$2:$A$26,MATCH($C242,'Shultis Faw'!$A$2:$A$26,1))),$C242*'Shultis Faw'!$B$2/'Shultis Faw'!$A$2)</f>
        <v>7.7199906666666665E-2</v>
      </c>
      <c r="L242" s="83">
        <f>_xlfn.IFNA(INDEX('Shultis Faw'!$E$2:$E$26,MATCH($C242,'Shultis Faw'!$A$2:$A$26,1))+($C242-INDEX('Shultis Faw'!$A$2:$A$26,MATCH($C242,'Shultis Faw'!$A$2:$A$26,1)))*(INDEX('Shultis Faw'!$E$2:$E$26,MATCH($C242,'Shultis Faw'!$A$2:$A$26,1)+1)-INDEX('Shultis Faw'!$E$2:$E$26,MATCH($C242,'Shultis Faw'!$A$2:$A$26,1)))/(INDEX('Shultis Faw'!$A$2:$A$26,MATCH($C242,'Shultis Faw'!$A$2:$A$26,1)+1)-INDEX('Shultis Faw'!$A$2:$A$26,MATCH($C242,'Shultis Faw'!$A$2:$A$26,1))),$C242*'Shultis Faw'!$E$2/'Shultis Faw'!$A$2)</f>
        <v>-4.0754369333333332E-2</v>
      </c>
      <c r="M242" s="83">
        <f>_xlfn.IFNA(INDEX('Shultis Faw'!$F$2:$F$26,MATCH($C242,'Shultis Faw'!$A$2:$A$26,1))+($C242-INDEX('Shultis Faw'!$A$2:$A$26,MATCH($C242,'Shultis Faw'!$A$2:$A$26,1)))*(INDEX('Shultis Faw'!$F$2:$F$26,MATCH($C242,'Shultis Faw'!$A$2:$A$26,1)+1)-INDEX('Shultis Faw'!$F$2:$F$26,MATCH($C242,'Shultis Faw'!$A$2:$A$26,1)))/(INDEX('Shultis Faw'!$A$2:$A$26,MATCH($C242,'Shultis Faw'!$A$2:$A$26,1)+1)-INDEX('Shultis Faw'!$A$2:$A$26,MATCH($C242,'Shultis Faw'!$A$2:$A$26,1))),$C242*'Shultis Faw'!$F$2/'Shultis Faw'!$A$2)</f>
        <v>6.3869457666666669</v>
      </c>
      <c r="N242" s="83">
        <f>J242*(H242*'Externe blootstelling'!$D$23/2)^K242+L242*(TANH(((H242*'Externe blootstelling'!$D$23)/(2*M242))-2)-TANH(-2))/(1-TANH(-2))</f>
        <v>0.28120702205336939</v>
      </c>
      <c r="O242" s="83">
        <f>IF(N242=1,1+(I242-1)*H242*'Externe blootstelling'!$D$23/2,1+(I242-1)*(N242^(H242*'Externe blootstelling'!$D$23/2)-1)/(N242-1))</f>
        <v>0.34685636281374777</v>
      </c>
      <c r="P242" s="67">
        <f>G242*EXP(-H242*'Externe blootstelling'!$D$23/2)*O242</f>
        <v>4.2204870246262111E-130</v>
      </c>
      <c r="Q242" s="68"/>
    </row>
    <row r="243" spans="1:17" x14ac:dyDescent="0.2">
      <c r="A243" s="217"/>
      <c r="B243" s="64" t="s">
        <v>102</v>
      </c>
      <c r="C243" s="66">
        <v>3.95229E-2</v>
      </c>
      <c r="D243" s="66">
        <f t="shared" si="18"/>
        <v>6.323664E-15</v>
      </c>
      <c r="E243" s="66">
        <v>6.0000000000000002E-5</v>
      </c>
      <c r="F243" s="66">
        <f>_xlfn.IFNA(INDEX('hp (pSv cm2)'!$B$2:$B$52,MATCH($C243,'hp (pSv cm2)'!$A$2:$A$52,1))+($C243-INDEX('hp (pSv cm2)'!$A$2:$A$52,MATCH($C243,'hp (pSv cm2)'!$A$2:$A$52,1)))*(INDEX('hp (pSv cm2)'!$B$2:$B$52,MATCH($C243,'hp (pSv cm2)'!$A$2:$A$52,1)+1)-INDEX('hp (pSv cm2)'!$B$2:$B$52,MATCH($C243,'hp (pSv cm2)'!$A$2:$A$52,1)))/(INDEX('hp (pSv cm2)'!$A$2:$A$52,MATCH($C243,'hp (pSv cm2)'!$A$2:$A$52,1)+1)-INDEX('hp (pSv cm2)'!$A$2:$A$52,MATCH($C243,'hp (pSv cm2)'!$A$2:$A$52,1))),$C243*'hp (pSv cm2)'!$B$2/'hp (pSv cm2)'!$A$2)</f>
        <v>0.34818701999999996</v>
      </c>
      <c r="G243" s="67">
        <f t="shared" si="19"/>
        <v>2.0891221199999998E-5</v>
      </c>
      <c r="H243" s="83">
        <f>_xlfn.IFNA(0.997*(INDEX('Mass attenuation coefficients'!$B$2:$B$37,MATCH($C243,'Mass attenuation coefficients'!$A$2:$A$37,1))+($C243-INDEX('Mass attenuation coefficients'!$A$2:$A$37,MATCH($C243,'Mass attenuation coefficients'!$A$2:$A$37,1)))*(INDEX('Mass attenuation coefficients'!$B$2:$B$37,MATCH($C243,'Mass attenuation coefficients'!$A$2:$A$37,1)+1)-INDEX('Mass attenuation coefficients'!$B$2:$B$37,MATCH($C243,'Mass attenuation coefficients'!$A$2:$A$37,1)))/(INDEX('Mass attenuation coefficients'!$A$2:$A$37,MATCH($C243,'Mass attenuation coefficients'!$A$2:$A$37,1)+1)-INDEX('Mass attenuation coefficients'!$A$2:$A$37,MATCH($C243,'Mass attenuation coefficients'!$A$2:$A$37,1)))),0.997*$C243*'Mass attenuation coefficients'!$B$2/'Mass attenuation coefficients'!$A$2)</f>
        <v>0.27259902515099993</v>
      </c>
      <c r="I243" s="83">
        <f>_xlfn.IFNA(INDEX('Shultis Faw'!$C$2:$C$26,MATCH($C243,'Shultis Faw'!$A$2:$A$26,1))+($C243-INDEX('Shultis Faw'!$A$2:$A$26,MATCH($C243,'Shultis Faw'!$A$2:$A$26,1)))*(INDEX('Shultis Faw'!$C$2:$C$26,MATCH($C243,'Shultis Faw'!$A$2:$A$26,1)+1)-INDEX('Shultis Faw'!$C$2:$C$26,MATCH($C243,'Shultis Faw'!$A$2:$A$26,1)))/(INDEX('Shultis Faw'!$A$2:$A$26,MATCH($C243,'Shultis Faw'!$A$2:$A$26,1)+1)-INDEX('Shultis Faw'!$A$2:$A$26,MATCH($C243,'Shultis Faw'!$A$2:$A$26,1))),$C243*'Shultis Faw'!$C$2/'Shultis Faw'!$A$2)</f>
        <v>3.4225151799999995</v>
      </c>
      <c r="J243" s="83">
        <f>_xlfn.IFNA(INDEX('Shultis Faw'!$D$2:$D$26,MATCH($C243,'Shultis Faw'!$A$2:$A$26,1))+($C243-INDEX('Shultis Faw'!$A$2:$A$26,MATCH($C243,'Shultis Faw'!$A$2:$A$26,1)))*(INDEX('Shultis Faw'!$D$2:$D$26,MATCH($C243,'Shultis Faw'!$A$2:$A$26,1)+1)-INDEX('Shultis Faw'!$D$2:$D$26,MATCH($C243,'Shultis Faw'!$A$2:$A$26,1)))/(INDEX('Shultis Faw'!$A$2:$A$26,MATCH($C243,'Shultis Faw'!$A$2:$A$26,1)+1)-INDEX('Shultis Faw'!$A$2:$A$26,MATCH($C243,'Shultis Faw'!$A$2:$A$26,1))),$C243*'Shultis Faw'!$D$2/'Shultis Faw'!$A$2)</f>
        <v>1.0988224899999999</v>
      </c>
      <c r="K243" s="83">
        <f>_xlfn.IFNA(INDEX('Shultis Faw'!$B$2:$B$26,MATCH($C243,'Shultis Faw'!$A$2:$A$26,1))+($C243-INDEX('Shultis Faw'!$A$2:$A$26,MATCH($C243,'Shultis Faw'!$A$2:$A$26,1)))*(INDEX('Shultis Faw'!$B$2:$B$26,MATCH($C243,'Shultis Faw'!$A$2:$A$26,1)+1)-INDEX('Shultis Faw'!$B$2:$B$26,MATCH($C243,'Shultis Faw'!$A$2:$A$26,1)))/(INDEX('Shultis Faw'!$A$2:$A$26,MATCH($C243,'Shultis Faw'!$A$2:$A$26,1)+1)-INDEX('Shultis Faw'!$A$2:$A$26,MATCH($C243,'Shultis Faw'!$A$2:$A$26,1))),$C243*'Shultis Faw'!$B$2/'Shultis Faw'!$A$2)</f>
        <v>-1.3942740000000009E-2</v>
      </c>
      <c r="L243" s="83">
        <f>_xlfn.IFNA(INDEX('Shultis Faw'!$E$2:$E$26,MATCH($C243,'Shultis Faw'!$A$2:$A$26,1))+($C243-INDEX('Shultis Faw'!$A$2:$A$26,MATCH($C243,'Shultis Faw'!$A$2:$A$26,1)))*(INDEX('Shultis Faw'!$E$2:$E$26,MATCH($C243,'Shultis Faw'!$A$2:$A$26,1)+1)-INDEX('Shultis Faw'!$E$2:$E$26,MATCH($C243,'Shultis Faw'!$A$2:$A$26,1)))/(INDEX('Shultis Faw'!$A$2:$A$26,MATCH($C243,'Shultis Faw'!$A$2:$A$26,1)+1)-INDEX('Shultis Faw'!$A$2:$A$26,MATCH($C243,'Shultis Faw'!$A$2:$A$26,1))),$C243*'Shultis Faw'!$E$2/'Shultis Faw'!$A$2)</f>
        <v>4.7690499999999275E-4</v>
      </c>
      <c r="M243" s="83">
        <f>_xlfn.IFNA(INDEX('Shultis Faw'!$F$2:$F$26,MATCH($C243,'Shultis Faw'!$A$2:$A$26,1))+($C243-INDEX('Shultis Faw'!$A$2:$A$26,MATCH($C243,'Shultis Faw'!$A$2:$A$26,1)))*(INDEX('Shultis Faw'!$F$2:$F$26,MATCH($C243,'Shultis Faw'!$A$2:$A$26,1)+1)-INDEX('Shultis Faw'!$F$2:$F$26,MATCH($C243,'Shultis Faw'!$A$2:$A$26,1)))/(INDEX('Shultis Faw'!$A$2:$A$26,MATCH($C243,'Shultis Faw'!$A$2:$A$26,1)+1)-INDEX('Shultis Faw'!$A$2:$A$26,MATCH($C243,'Shultis Faw'!$A$2:$A$26,1))),$C243*'Shultis Faw'!$F$2/'Shultis Faw'!$A$2)</f>
        <v>11.746813100000001</v>
      </c>
      <c r="N243" s="83">
        <f>J243*(H243*'Externe blootstelling'!$D$23/2)^K243+L243*(TANH(((H243*'Externe blootstelling'!$D$23)/(2*M243))-2)-TANH(-2))/(1-TANH(-2))</f>
        <v>1.0774654665974233</v>
      </c>
      <c r="O243" s="83">
        <f>IF(N243=1,1+(I243-1)*H243*'Externe blootstelling'!$D$23/2,1+(I243-1)*(N243^(H243*'Externe blootstelling'!$D$23/2)-1)/(N243-1))</f>
        <v>12.156065774755827</v>
      </c>
      <c r="P243" s="67">
        <f>G243*EXP(-H243*'Externe blootstelling'!$D$23/2)*O243</f>
        <v>4.2553284097015794E-6</v>
      </c>
      <c r="Q243" s="68"/>
    </row>
    <row r="244" spans="1:17" x14ac:dyDescent="0.2">
      <c r="A244" s="217"/>
      <c r="B244" s="64" t="s">
        <v>102</v>
      </c>
      <c r="C244" s="66">
        <v>4.0118599999999997E-2</v>
      </c>
      <c r="D244" s="66">
        <f t="shared" si="18"/>
        <v>6.4189759999999992E-15</v>
      </c>
      <c r="E244" s="66">
        <v>1E-4</v>
      </c>
      <c r="F244" s="66">
        <f>_xlfn.IFNA(INDEX('hp (pSv cm2)'!$B$2:$B$52,MATCH($C244,'hp (pSv cm2)'!$A$2:$A$52,1))+($C244-INDEX('hp (pSv cm2)'!$A$2:$A$52,MATCH($C244,'hp (pSv cm2)'!$A$2:$A$52,1)))*(INDEX('hp (pSv cm2)'!$B$2:$B$52,MATCH($C244,'hp (pSv cm2)'!$A$2:$A$52,1)+1)-INDEX('hp (pSv cm2)'!$B$2:$B$52,MATCH($C244,'hp (pSv cm2)'!$A$2:$A$52,1)))/(INDEX('hp (pSv cm2)'!$A$2:$A$52,MATCH($C244,'hp (pSv cm2)'!$A$2:$A$52,1)+1)-INDEX('hp (pSv cm2)'!$A$2:$A$52,MATCH($C244,'hp (pSv cm2)'!$A$2:$A$52,1))),$C244*'hp (pSv cm2)'!$B$2/'hp (pSv cm2)'!$A$2)</f>
        <v>0.35022534</v>
      </c>
      <c r="G244" s="67">
        <f t="shared" si="19"/>
        <v>3.5022533999999999E-5</v>
      </c>
      <c r="H244" s="83">
        <f>_xlfn.IFNA(0.997*(INDEX('Mass attenuation coefficients'!$B$2:$B$37,MATCH($C244,'Mass attenuation coefficients'!$A$2:$A$37,1))+($C244-INDEX('Mass attenuation coefficients'!$A$2:$A$37,MATCH($C244,'Mass attenuation coefficients'!$A$2:$A$37,1)))*(INDEX('Mass attenuation coefficients'!$B$2:$B$37,MATCH($C244,'Mass attenuation coefficients'!$A$2:$A$37,1)+1)-INDEX('Mass attenuation coefficients'!$B$2:$B$37,MATCH($C244,'Mass attenuation coefficients'!$A$2:$A$37,1)))/(INDEX('Mass attenuation coefficients'!$A$2:$A$37,MATCH($C244,'Mass attenuation coefficients'!$A$2:$A$37,1)+1)-INDEX('Mass attenuation coefficients'!$A$2:$A$37,MATCH($C244,'Mass attenuation coefficients'!$A$2:$A$37,1)))),0.997*$C244*'Mass attenuation coefficients'!$B$2/'Mass attenuation coefficients'!$A$2)</f>
        <v>0.26700556901200001</v>
      </c>
      <c r="I244" s="83">
        <f>_xlfn.IFNA(INDEX('Shultis Faw'!$C$2:$C$26,MATCH($C244,'Shultis Faw'!$A$2:$A$26,1))+($C244-INDEX('Shultis Faw'!$A$2:$A$26,MATCH($C244,'Shultis Faw'!$A$2:$A$26,1)))*(INDEX('Shultis Faw'!$C$2:$C$26,MATCH($C244,'Shultis Faw'!$A$2:$A$26,1)+1)-INDEX('Shultis Faw'!$C$2:$C$26,MATCH($C244,'Shultis Faw'!$A$2:$A$26,1)))/(INDEX('Shultis Faw'!$A$2:$A$26,MATCH($C244,'Shultis Faw'!$A$2:$A$26,1)+1)-INDEX('Shultis Faw'!$A$2:$A$26,MATCH($C244,'Shultis Faw'!$A$2:$A$26,1))),$C244*'Shultis Faw'!$C$2/'Shultis Faw'!$A$2)</f>
        <v>3.4886702399999994</v>
      </c>
      <c r="J244" s="83">
        <f>_xlfn.IFNA(INDEX('Shultis Faw'!$D$2:$D$26,MATCH($C244,'Shultis Faw'!$A$2:$A$26,1))+($C244-INDEX('Shultis Faw'!$A$2:$A$26,MATCH($C244,'Shultis Faw'!$A$2:$A$26,1)))*(INDEX('Shultis Faw'!$D$2:$D$26,MATCH($C244,'Shultis Faw'!$A$2:$A$26,1)+1)-INDEX('Shultis Faw'!$D$2:$D$26,MATCH($C244,'Shultis Faw'!$A$2:$A$26,1)))/(INDEX('Shultis Faw'!$A$2:$A$26,MATCH($C244,'Shultis Faw'!$A$2:$A$26,1)+1)-INDEX('Shultis Faw'!$A$2:$A$26,MATCH($C244,'Shultis Faw'!$A$2:$A$26,1))),$C244*'Shultis Faw'!$D$2/'Shultis Faw'!$A$2)</f>
        <v>1.1210323999999998</v>
      </c>
      <c r="K244" s="83">
        <f>_xlfn.IFNA(INDEX('Shultis Faw'!$B$2:$B$26,MATCH($C244,'Shultis Faw'!$A$2:$A$26,1))+($C244-INDEX('Shultis Faw'!$A$2:$A$26,MATCH($C244,'Shultis Faw'!$A$2:$A$26,1)))*(INDEX('Shultis Faw'!$B$2:$B$26,MATCH($C244,'Shultis Faw'!$A$2:$A$26,1)+1)-INDEX('Shultis Faw'!$B$2:$B$26,MATCH($C244,'Shultis Faw'!$A$2:$A$26,1)))/(INDEX('Shultis Faw'!$A$2:$A$26,MATCH($C244,'Shultis Faw'!$A$2:$A$26,1)+1)-INDEX('Shultis Faw'!$A$2:$A$26,MATCH($C244,'Shultis Faw'!$A$2:$A$26,1))),$C244*'Shultis Faw'!$B$2/'Shultis Faw'!$A$2)</f>
        <v>-1.9770899999999977E-2</v>
      </c>
      <c r="L244" s="83">
        <f>_xlfn.IFNA(INDEX('Shultis Faw'!$E$2:$E$26,MATCH($C244,'Shultis Faw'!$A$2:$A$26,1))+($C244-INDEX('Shultis Faw'!$A$2:$A$26,MATCH($C244,'Shultis Faw'!$A$2:$A$26,1)))*(INDEX('Shultis Faw'!$E$2:$E$26,MATCH($C244,'Shultis Faw'!$A$2:$A$26,1)+1)-INDEX('Shultis Faw'!$E$2:$E$26,MATCH($C244,'Shultis Faw'!$A$2:$A$26,1)))/(INDEX('Shultis Faw'!$A$2:$A$26,MATCH($C244,'Shultis Faw'!$A$2:$A$26,1)+1)-INDEX('Shultis Faw'!$A$2:$A$26,MATCH($C244,'Shultis Faw'!$A$2:$A$26,1))),$C244*'Shultis Faw'!$E$2/'Shultis Faw'!$A$2)</f>
        <v>2.9735899999999886E-3</v>
      </c>
      <c r="M244" s="83">
        <f>_xlfn.IFNA(INDEX('Shultis Faw'!$F$2:$F$26,MATCH($C244,'Shultis Faw'!$A$2:$A$26,1))+($C244-INDEX('Shultis Faw'!$A$2:$A$26,MATCH($C244,'Shultis Faw'!$A$2:$A$26,1)))*(INDEX('Shultis Faw'!$F$2:$F$26,MATCH($C244,'Shultis Faw'!$A$2:$A$26,1)+1)-INDEX('Shultis Faw'!$F$2:$F$26,MATCH($C244,'Shultis Faw'!$A$2:$A$26,1)))/(INDEX('Shultis Faw'!$A$2:$A$26,MATCH($C244,'Shultis Faw'!$A$2:$A$26,1)+1)-INDEX('Shultis Faw'!$A$2:$A$26,MATCH($C244,'Shultis Faw'!$A$2:$A$26,1))),$C244*'Shultis Faw'!$F$2/'Shultis Faw'!$A$2)</f>
        <v>11.693126999999999</v>
      </c>
      <c r="N244" s="83">
        <f>J244*(H244*'Externe blootstelling'!$D$23/2)^K244+L244*(TANH(((H244*'Externe blootstelling'!$D$23)/(2*M244))-2)-TANH(-2))/(1-TANH(-2))</f>
        <v>1.0907483848658424</v>
      </c>
      <c r="O244" s="83">
        <f>IF(N244=1,1+(I244-1)*H244*'Externe blootstelling'!$D$23/2,1+(I244-1)*(N244^(H244*'Externe blootstelling'!$D$23/2)-1)/(N244-1))</f>
        <v>12.410721791894956</v>
      </c>
      <c r="P244" s="67">
        <f>G244*EXP(-H244*'Externe blootstelling'!$D$23/2)*O244</f>
        <v>7.9206154200254572E-6</v>
      </c>
      <c r="Q244" s="68"/>
    </row>
    <row r="245" spans="1:17" x14ac:dyDescent="0.2">
      <c r="A245" s="217"/>
      <c r="B245" s="64" t="s">
        <v>102</v>
      </c>
      <c r="C245" s="66">
        <v>4.2309300000000001E-2</v>
      </c>
      <c r="D245" s="66">
        <f t="shared" si="18"/>
        <v>6.7694879999999998E-15</v>
      </c>
      <c r="E245" s="66">
        <v>7.2000000000000008E-2</v>
      </c>
      <c r="F245" s="66">
        <f>_xlfn.IFNA(INDEX('hp (pSv cm2)'!$B$2:$B$52,MATCH($C245,'hp (pSv cm2)'!$A$2:$A$52,1))+($C245-INDEX('hp (pSv cm2)'!$A$2:$A$52,MATCH($C245,'hp (pSv cm2)'!$A$2:$A$52,1)))*(INDEX('hp (pSv cm2)'!$B$2:$B$52,MATCH($C245,'hp (pSv cm2)'!$A$2:$A$52,1)+1)-INDEX('hp (pSv cm2)'!$B$2:$B$52,MATCH($C245,'hp (pSv cm2)'!$A$2:$A$52,1)))/(INDEX('hp (pSv cm2)'!$A$2:$A$52,MATCH($C245,'hp (pSv cm2)'!$A$2:$A$52,1)+1)-INDEX('hp (pSv cm2)'!$A$2:$A$52,MATCH($C245,'hp (pSv cm2)'!$A$2:$A$52,1))),$C245*'hp (pSv cm2)'!$B$2/'hp (pSv cm2)'!$A$2)</f>
        <v>0.35438766999999999</v>
      </c>
      <c r="G245" s="67">
        <f t="shared" si="19"/>
        <v>2.5515912240000001E-2</v>
      </c>
      <c r="H245" s="83">
        <f>_xlfn.IFNA(0.997*(INDEX('Mass attenuation coefficients'!$B$2:$B$37,MATCH($C245,'Mass attenuation coefficients'!$A$2:$A$37,1))+($C245-INDEX('Mass attenuation coefficients'!$A$2:$A$37,MATCH($C245,'Mass attenuation coefficients'!$A$2:$A$37,1)))*(INDEX('Mass attenuation coefficients'!$B$2:$B$37,MATCH($C245,'Mass attenuation coefficients'!$A$2:$A$37,1)+1)-INDEX('Mass attenuation coefficients'!$B$2:$B$37,MATCH($C245,'Mass attenuation coefficients'!$A$2:$A$37,1)))/(INDEX('Mass attenuation coefficients'!$A$2:$A$37,MATCH($C245,'Mass attenuation coefficients'!$A$2:$A$37,1)+1)-INDEX('Mass attenuation coefficients'!$A$2:$A$37,MATCH($C245,'Mass attenuation coefficients'!$A$2:$A$37,1)))),0.997*$C245*'Mass attenuation coefficients'!$B$2/'Mass attenuation coefficients'!$A$2)</f>
        <v>0.25796327950600001</v>
      </c>
      <c r="I245" s="83">
        <f>_xlfn.IFNA(INDEX('Shultis Faw'!$C$2:$C$26,MATCH($C245,'Shultis Faw'!$A$2:$A$26,1))+($C245-INDEX('Shultis Faw'!$A$2:$A$26,MATCH($C245,'Shultis Faw'!$A$2:$A$26,1)))*(INDEX('Shultis Faw'!$C$2:$C$26,MATCH($C245,'Shultis Faw'!$A$2:$A$26,1)+1)-INDEX('Shultis Faw'!$C$2:$C$26,MATCH($C245,'Shultis Faw'!$A$2:$A$26,1)))/(INDEX('Shultis Faw'!$A$2:$A$26,MATCH($C245,'Shultis Faw'!$A$2:$A$26,1)+1)-INDEX('Shultis Faw'!$A$2:$A$26,MATCH($C245,'Shultis Faw'!$A$2:$A$26,1))),$C245*'Shultis Faw'!$C$2/'Shultis Faw'!$A$2)</f>
        <v>3.7042351199999999</v>
      </c>
      <c r="J245" s="83">
        <f>_xlfn.IFNA(INDEX('Shultis Faw'!$D$2:$D$26,MATCH($C245,'Shultis Faw'!$A$2:$A$26,1))+($C245-INDEX('Shultis Faw'!$A$2:$A$26,MATCH($C245,'Shultis Faw'!$A$2:$A$26,1)))*(INDEX('Shultis Faw'!$D$2:$D$26,MATCH($C245,'Shultis Faw'!$A$2:$A$26,1)+1)-INDEX('Shultis Faw'!$D$2:$D$26,MATCH($C245,'Shultis Faw'!$A$2:$A$26,1)))/(INDEX('Shultis Faw'!$A$2:$A$26,MATCH($C245,'Shultis Faw'!$A$2:$A$26,1)+1)-INDEX('Shultis Faw'!$A$2:$A$26,MATCH($C245,'Shultis Faw'!$A$2:$A$26,1))),$C245*'Shultis Faw'!$D$2/'Shultis Faw'!$A$2)</f>
        <v>1.1955161999999999</v>
      </c>
      <c r="K245" s="83">
        <f>_xlfn.IFNA(INDEX('Shultis Faw'!$B$2:$B$26,MATCH($C245,'Shultis Faw'!$A$2:$A$26,1))+($C245-INDEX('Shultis Faw'!$A$2:$A$26,MATCH($C245,'Shultis Faw'!$A$2:$A$26,1)))*(INDEX('Shultis Faw'!$B$2:$B$26,MATCH($C245,'Shultis Faw'!$A$2:$A$26,1)+1)-INDEX('Shultis Faw'!$B$2:$B$26,MATCH($C245,'Shultis Faw'!$A$2:$A$26,1)))/(INDEX('Shultis Faw'!$A$2:$A$26,MATCH($C245,'Shultis Faw'!$A$2:$A$26,1)+1)-INDEX('Shultis Faw'!$A$2:$A$26,MATCH($C245,'Shultis Faw'!$A$2:$A$26,1))),$C245*'Shultis Faw'!$B$2/'Shultis Faw'!$A$2)</f>
        <v>-3.4010449999999998E-2</v>
      </c>
      <c r="L245" s="83">
        <f>_xlfn.IFNA(INDEX('Shultis Faw'!$E$2:$E$26,MATCH($C245,'Shultis Faw'!$A$2:$A$26,1))+($C245-INDEX('Shultis Faw'!$A$2:$A$26,MATCH($C245,'Shultis Faw'!$A$2:$A$26,1)))*(INDEX('Shultis Faw'!$E$2:$E$26,MATCH($C245,'Shultis Faw'!$A$2:$A$26,1)+1)-INDEX('Shultis Faw'!$E$2:$E$26,MATCH($C245,'Shultis Faw'!$A$2:$A$26,1)))/(INDEX('Shultis Faw'!$A$2:$A$26,MATCH($C245,'Shultis Faw'!$A$2:$A$26,1)+1)-INDEX('Shultis Faw'!$A$2:$A$26,MATCH($C245,'Shultis Faw'!$A$2:$A$26,1))),$C245*'Shultis Faw'!$E$2/'Shultis Faw'!$A$2)</f>
        <v>9.8742949999999999E-3</v>
      </c>
      <c r="M245" s="83">
        <f>_xlfn.IFNA(INDEX('Shultis Faw'!$F$2:$F$26,MATCH($C245,'Shultis Faw'!$A$2:$A$26,1))+($C245-INDEX('Shultis Faw'!$A$2:$A$26,MATCH($C245,'Shultis Faw'!$A$2:$A$26,1)))*(INDEX('Shultis Faw'!$F$2:$F$26,MATCH($C245,'Shultis Faw'!$A$2:$A$26,1)+1)-INDEX('Shultis Faw'!$F$2:$F$26,MATCH($C245,'Shultis Faw'!$A$2:$A$26,1)))/(INDEX('Shultis Faw'!$A$2:$A$26,MATCH($C245,'Shultis Faw'!$A$2:$A$26,1)+1)-INDEX('Shultis Faw'!$A$2:$A$26,MATCH($C245,'Shultis Faw'!$A$2:$A$26,1))),$C245*'Shultis Faw'!$F$2/'Shultis Faw'!$A$2)</f>
        <v>12.1203135</v>
      </c>
      <c r="N245" s="83">
        <f>J245*(H245*'Externe blootstelling'!$D$23/2)^K245+L245*(TANH(((H245*'Externe blootstelling'!$D$23)/(2*M245))-2)-TANH(-2))/(1-TANH(-2))</f>
        <v>1.1419015577600384</v>
      </c>
      <c r="O245" s="83">
        <f>IF(N245=1,1+(I245-1)*H245*'Externe blootstelling'!$D$23/2,1+(I245-1)*(N245^(H245*'Externe blootstelling'!$D$23/2)-1)/(N245-1))</f>
        <v>13.788409058223271</v>
      </c>
      <c r="P245" s="67">
        <f>G245*EXP(-H245*'Externe blootstelling'!$D$23/2)*O245</f>
        <v>7.3425147305042574E-3</v>
      </c>
      <c r="Q245" s="68"/>
    </row>
    <row r="246" spans="1:17" x14ac:dyDescent="0.2">
      <c r="A246" s="217"/>
      <c r="B246" s="64" t="s">
        <v>102</v>
      </c>
      <c r="C246" s="66">
        <v>4.2996699999999999E-2</v>
      </c>
      <c r="D246" s="66">
        <f t="shared" si="18"/>
        <v>6.8794719999999994E-15</v>
      </c>
      <c r="E246" s="66">
        <v>0.13</v>
      </c>
      <c r="F246" s="66">
        <f>_xlfn.IFNA(INDEX('hp (pSv cm2)'!$B$2:$B$52,MATCH($C246,'hp (pSv cm2)'!$A$2:$A$52,1))+($C246-INDEX('hp (pSv cm2)'!$A$2:$A$52,MATCH($C246,'hp (pSv cm2)'!$A$2:$A$52,1)))*(INDEX('hp (pSv cm2)'!$B$2:$B$52,MATCH($C246,'hp (pSv cm2)'!$A$2:$A$52,1)+1)-INDEX('hp (pSv cm2)'!$B$2:$B$52,MATCH($C246,'hp (pSv cm2)'!$A$2:$A$52,1)))/(INDEX('hp (pSv cm2)'!$A$2:$A$52,MATCH($C246,'hp (pSv cm2)'!$A$2:$A$52,1)+1)-INDEX('hp (pSv cm2)'!$A$2:$A$52,MATCH($C246,'hp (pSv cm2)'!$A$2:$A$52,1))),$C246*'hp (pSv cm2)'!$B$2/'hp (pSv cm2)'!$A$2)</f>
        <v>0.35569372999999999</v>
      </c>
      <c r="G246" s="67">
        <f t="shared" si="19"/>
        <v>4.6240184900000002E-2</v>
      </c>
      <c r="H246" s="83">
        <f>_xlfn.IFNA(0.997*(INDEX('Mass attenuation coefficients'!$B$2:$B$37,MATCH($C246,'Mass attenuation coefficients'!$A$2:$A$37,1))+($C246-INDEX('Mass attenuation coefficients'!$A$2:$A$37,MATCH($C246,'Mass attenuation coefficients'!$A$2:$A$37,1)))*(INDEX('Mass attenuation coefficients'!$B$2:$B$37,MATCH($C246,'Mass attenuation coefficients'!$A$2:$A$37,1)+1)-INDEX('Mass attenuation coefficients'!$B$2:$B$37,MATCH($C246,'Mass attenuation coefficients'!$A$2:$A$37,1)))/(INDEX('Mass attenuation coefficients'!$A$2:$A$37,MATCH($C246,'Mass attenuation coefficients'!$A$2:$A$37,1)+1)-INDEX('Mass attenuation coefficients'!$A$2:$A$37,MATCH($C246,'Mass attenuation coefficients'!$A$2:$A$37,1)))),0.997*$C246*'Mass attenuation coefficients'!$B$2/'Mass attenuation coefficients'!$A$2)</f>
        <v>0.25512598101400003</v>
      </c>
      <c r="I246" s="83">
        <f>_xlfn.IFNA(INDEX('Shultis Faw'!$C$2:$C$26,MATCH($C246,'Shultis Faw'!$A$2:$A$26,1))+($C246-INDEX('Shultis Faw'!$A$2:$A$26,MATCH($C246,'Shultis Faw'!$A$2:$A$26,1)))*(INDEX('Shultis Faw'!$C$2:$C$26,MATCH($C246,'Shultis Faw'!$A$2:$A$26,1)+1)-INDEX('Shultis Faw'!$C$2:$C$26,MATCH($C246,'Shultis Faw'!$A$2:$A$26,1)))/(INDEX('Shultis Faw'!$A$2:$A$26,MATCH($C246,'Shultis Faw'!$A$2:$A$26,1)+1)-INDEX('Shultis Faw'!$A$2:$A$26,MATCH($C246,'Shultis Faw'!$A$2:$A$26,1))),$C246*'Shultis Faw'!$C$2/'Shultis Faw'!$A$2)</f>
        <v>3.7718752799999997</v>
      </c>
      <c r="J246" s="83">
        <f>_xlfn.IFNA(INDEX('Shultis Faw'!$D$2:$D$26,MATCH($C246,'Shultis Faw'!$A$2:$A$26,1))+($C246-INDEX('Shultis Faw'!$A$2:$A$26,MATCH($C246,'Shultis Faw'!$A$2:$A$26,1)))*(INDEX('Shultis Faw'!$D$2:$D$26,MATCH($C246,'Shultis Faw'!$A$2:$A$26,1)+1)-INDEX('Shultis Faw'!$D$2:$D$26,MATCH($C246,'Shultis Faw'!$A$2:$A$26,1)))/(INDEX('Shultis Faw'!$A$2:$A$26,MATCH($C246,'Shultis Faw'!$A$2:$A$26,1)+1)-INDEX('Shultis Faw'!$A$2:$A$26,MATCH($C246,'Shultis Faw'!$A$2:$A$26,1))),$C246*'Shultis Faw'!$D$2/'Shultis Faw'!$A$2)</f>
        <v>1.2188877999999999</v>
      </c>
      <c r="K246" s="83">
        <f>_xlfn.IFNA(INDEX('Shultis Faw'!$B$2:$B$26,MATCH($C246,'Shultis Faw'!$A$2:$A$26,1))+($C246-INDEX('Shultis Faw'!$A$2:$A$26,MATCH($C246,'Shultis Faw'!$A$2:$A$26,1)))*(INDEX('Shultis Faw'!$B$2:$B$26,MATCH($C246,'Shultis Faw'!$A$2:$A$26,1)+1)-INDEX('Shultis Faw'!$B$2:$B$26,MATCH($C246,'Shultis Faw'!$A$2:$A$26,1)))/(INDEX('Shultis Faw'!$A$2:$A$26,MATCH($C246,'Shultis Faw'!$A$2:$A$26,1)+1)-INDEX('Shultis Faw'!$A$2:$A$26,MATCH($C246,'Shultis Faw'!$A$2:$A$26,1))),$C246*'Shultis Faw'!$B$2/'Shultis Faw'!$A$2)</f>
        <v>-3.8478549999999986E-2</v>
      </c>
      <c r="L246" s="83">
        <f>_xlfn.IFNA(INDEX('Shultis Faw'!$E$2:$E$26,MATCH($C246,'Shultis Faw'!$A$2:$A$26,1))+($C246-INDEX('Shultis Faw'!$A$2:$A$26,MATCH($C246,'Shultis Faw'!$A$2:$A$26,1)))*(INDEX('Shultis Faw'!$E$2:$E$26,MATCH($C246,'Shultis Faw'!$A$2:$A$26,1)+1)-INDEX('Shultis Faw'!$E$2:$E$26,MATCH($C246,'Shultis Faw'!$A$2:$A$26,1)))/(INDEX('Shultis Faw'!$A$2:$A$26,MATCH($C246,'Shultis Faw'!$A$2:$A$26,1)+1)-INDEX('Shultis Faw'!$A$2:$A$26,MATCH($C246,'Shultis Faw'!$A$2:$A$26,1))),$C246*'Shultis Faw'!$E$2/'Shultis Faw'!$A$2)</f>
        <v>1.2039604999999991E-2</v>
      </c>
      <c r="M246" s="83">
        <f>_xlfn.IFNA(INDEX('Shultis Faw'!$F$2:$F$26,MATCH($C246,'Shultis Faw'!$A$2:$A$26,1))+($C246-INDEX('Shultis Faw'!$A$2:$A$26,MATCH($C246,'Shultis Faw'!$A$2:$A$26,1)))*(INDEX('Shultis Faw'!$F$2:$F$26,MATCH($C246,'Shultis Faw'!$A$2:$A$26,1)+1)-INDEX('Shultis Faw'!$F$2:$F$26,MATCH($C246,'Shultis Faw'!$A$2:$A$26,1)))/(INDEX('Shultis Faw'!$A$2:$A$26,MATCH($C246,'Shultis Faw'!$A$2:$A$26,1)+1)-INDEX('Shultis Faw'!$A$2:$A$26,MATCH($C246,'Shultis Faw'!$A$2:$A$26,1))),$C246*'Shultis Faw'!$F$2/'Shultis Faw'!$A$2)</f>
        <v>12.2543565</v>
      </c>
      <c r="N246" s="83">
        <f>J246*(H246*'Externe blootstelling'!$D$23/2)^K246+L246*(TANH(((H246*'Externe blootstelling'!$D$23)/(2*M246))-2)-TANH(-2))/(1-TANH(-2))</f>
        <v>1.1577267067068724</v>
      </c>
      <c r="O246" s="83">
        <f>IF(N246=1,1+(I246-1)*H246*'Externe blootstelling'!$D$23/2,1+(I246-1)*(N246^(H246*'Externe blootstelling'!$D$23/2)-1)/(N246-1))</f>
        <v>14.207022019963924</v>
      </c>
      <c r="P246" s="67">
        <f>G246*EXP(-H246*'Externe blootstelling'!$D$23/2)*O246</f>
        <v>1.4306240757538573E-2</v>
      </c>
      <c r="Q246" s="68"/>
    </row>
    <row r="247" spans="1:17" x14ac:dyDescent="0.2">
      <c r="A247" s="217"/>
      <c r="B247" s="64" t="s">
        <v>102</v>
      </c>
      <c r="C247" s="66">
        <v>4.5477699999999996E-2</v>
      </c>
      <c r="D247" s="66">
        <f t="shared" si="18"/>
        <v>7.2764319999999986E-15</v>
      </c>
      <c r="E247" s="66">
        <v>3.0000000000000001E-5</v>
      </c>
      <c r="F247" s="66">
        <f>_xlfn.IFNA(INDEX('hp (pSv cm2)'!$B$2:$B$52,MATCH($C247,'hp (pSv cm2)'!$A$2:$A$52,1))+($C247-INDEX('hp (pSv cm2)'!$A$2:$A$52,MATCH($C247,'hp (pSv cm2)'!$A$2:$A$52,1)))*(INDEX('hp (pSv cm2)'!$B$2:$B$52,MATCH($C247,'hp (pSv cm2)'!$A$2:$A$52,1)+1)-INDEX('hp (pSv cm2)'!$B$2:$B$52,MATCH($C247,'hp (pSv cm2)'!$A$2:$A$52,1)))/(INDEX('hp (pSv cm2)'!$A$2:$A$52,MATCH($C247,'hp (pSv cm2)'!$A$2:$A$52,1)+1)-INDEX('hp (pSv cm2)'!$A$2:$A$52,MATCH($C247,'hp (pSv cm2)'!$A$2:$A$52,1))),$C247*'hp (pSv cm2)'!$B$2/'hp (pSv cm2)'!$A$2)</f>
        <v>0.36040762999999998</v>
      </c>
      <c r="G247" s="67">
        <f t="shared" si="19"/>
        <v>1.0812228899999999E-5</v>
      </c>
      <c r="H247" s="83">
        <f>_xlfn.IFNA(0.997*(INDEX('Mass attenuation coefficients'!$B$2:$B$37,MATCH($C247,'Mass attenuation coefficients'!$A$2:$A$37,1))+($C247-INDEX('Mass attenuation coefficients'!$A$2:$A$37,MATCH($C247,'Mass attenuation coefficients'!$A$2:$A$37,1)))*(INDEX('Mass attenuation coefficients'!$B$2:$B$37,MATCH($C247,'Mass attenuation coefficients'!$A$2:$A$37,1)+1)-INDEX('Mass attenuation coefficients'!$B$2:$B$37,MATCH($C247,'Mass attenuation coefficients'!$A$2:$A$37,1)))/(INDEX('Mass attenuation coefficients'!$A$2:$A$37,MATCH($C247,'Mass attenuation coefficients'!$A$2:$A$37,1)+1)-INDEX('Mass attenuation coefficients'!$A$2:$A$37,MATCH($C247,'Mass attenuation coefficients'!$A$2:$A$37,1)))),0.997*$C247*'Mass attenuation coefficients'!$B$2/'Mass attenuation coefficients'!$A$2)</f>
        <v>0.244885455034</v>
      </c>
      <c r="I247" s="83">
        <f>_xlfn.IFNA(INDEX('Shultis Faw'!$C$2:$C$26,MATCH($C247,'Shultis Faw'!$A$2:$A$26,1))+($C247-INDEX('Shultis Faw'!$A$2:$A$26,MATCH($C247,'Shultis Faw'!$A$2:$A$26,1)))*(INDEX('Shultis Faw'!$C$2:$C$26,MATCH($C247,'Shultis Faw'!$A$2:$A$26,1)+1)-INDEX('Shultis Faw'!$C$2:$C$26,MATCH($C247,'Shultis Faw'!$A$2:$A$26,1)))/(INDEX('Shultis Faw'!$A$2:$A$26,MATCH($C247,'Shultis Faw'!$A$2:$A$26,1)+1)-INDEX('Shultis Faw'!$A$2:$A$26,MATCH($C247,'Shultis Faw'!$A$2:$A$26,1))),$C247*'Shultis Faw'!$C$2/'Shultis Faw'!$A$2)</f>
        <v>4.0160056799999992</v>
      </c>
      <c r="J247" s="83">
        <f>_xlfn.IFNA(INDEX('Shultis Faw'!$D$2:$D$26,MATCH($C247,'Shultis Faw'!$A$2:$A$26,1))+($C247-INDEX('Shultis Faw'!$A$2:$A$26,MATCH($C247,'Shultis Faw'!$A$2:$A$26,1)))*(INDEX('Shultis Faw'!$D$2:$D$26,MATCH($C247,'Shultis Faw'!$A$2:$A$26,1)+1)-INDEX('Shultis Faw'!$D$2:$D$26,MATCH($C247,'Shultis Faw'!$A$2:$A$26,1)))/(INDEX('Shultis Faw'!$A$2:$A$26,MATCH($C247,'Shultis Faw'!$A$2:$A$26,1)+1)-INDEX('Shultis Faw'!$A$2:$A$26,MATCH($C247,'Shultis Faw'!$A$2:$A$26,1))),$C247*'Shultis Faw'!$D$2/'Shultis Faw'!$A$2)</f>
        <v>1.3032417999999999</v>
      </c>
      <c r="K247" s="83">
        <f>_xlfn.IFNA(INDEX('Shultis Faw'!$B$2:$B$26,MATCH($C247,'Shultis Faw'!$A$2:$A$26,1))+($C247-INDEX('Shultis Faw'!$A$2:$A$26,MATCH($C247,'Shultis Faw'!$A$2:$A$26,1)))*(INDEX('Shultis Faw'!$B$2:$B$26,MATCH($C247,'Shultis Faw'!$A$2:$A$26,1)+1)-INDEX('Shultis Faw'!$B$2:$B$26,MATCH($C247,'Shultis Faw'!$A$2:$A$26,1)))/(INDEX('Shultis Faw'!$A$2:$A$26,MATCH($C247,'Shultis Faw'!$A$2:$A$26,1)+1)-INDEX('Shultis Faw'!$A$2:$A$26,MATCH($C247,'Shultis Faw'!$A$2:$A$26,1))),$C247*'Shultis Faw'!$B$2/'Shultis Faw'!$A$2)</f>
        <v>-5.4605049999999961E-2</v>
      </c>
      <c r="L247" s="83">
        <f>_xlfn.IFNA(INDEX('Shultis Faw'!$E$2:$E$26,MATCH($C247,'Shultis Faw'!$A$2:$A$26,1))+($C247-INDEX('Shultis Faw'!$A$2:$A$26,MATCH($C247,'Shultis Faw'!$A$2:$A$26,1)))*(INDEX('Shultis Faw'!$E$2:$E$26,MATCH($C247,'Shultis Faw'!$A$2:$A$26,1)+1)-INDEX('Shultis Faw'!$E$2:$E$26,MATCH($C247,'Shultis Faw'!$A$2:$A$26,1)))/(INDEX('Shultis Faw'!$A$2:$A$26,MATCH($C247,'Shultis Faw'!$A$2:$A$26,1)+1)-INDEX('Shultis Faw'!$A$2:$A$26,MATCH($C247,'Shultis Faw'!$A$2:$A$26,1))),$C247*'Shultis Faw'!$E$2/'Shultis Faw'!$A$2)</f>
        <v>1.9854754999999981E-2</v>
      </c>
      <c r="M247" s="83">
        <f>_xlfn.IFNA(INDEX('Shultis Faw'!$F$2:$F$26,MATCH($C247,'Shultis Faw'!$A$2:$A$26,1))+($C247-INDEX('Shultis Faw'!$A$2:$A$26,MATCH($C247,'Shultis Faw'!$A$2:$A$26,1)))*(INDEX('Shultis Faw'!$F$2:$F$26,MATCH($C247,'Shultis Faw'!$A$2:$A$26,1)+1)-INDEX('Shultis Faw'!$F$2:$F$26,MATCH($C247,'Shultis Faw'!$A$2:$A$26,1)))/(INDEX('Shultis Faw'!$A$2:$A$26,MATCH($C247,'Shultis Faw'!$A$2:$A$26,1)+1)-INDEX('Shultis Faw'!$A$2:$A$26,MATCH($C247,'Shultis Faw'!$A$2:$A$26,1))),$C247*'Shultis Faw'!$F$2/'Shultis Faw'!$A$2)</f>
        <v>12.738151499999999</v>
      </c>
      <c r="N247" s="83">
        <f>J247*(H247*'Externe blootstelling'!$D$23/2)^K247+L247*(TANH(((H247*'Externe blootstelling'!$D$23)/(2*M247))-2)-TANH(-2))/(1-TANH(-2))</f>
        <v>1.2141391999680742</v>
      </c>
      <c r="O247" s="83">
        <f>IF(N247=1,1+(I247-1)*H247*'Externe blootstelling'!$D$23/2,1+(I247-1)*(N247^(H247*'Externe blootstelling'!$D$23/2)-1)/(N247-1))</f>
        <v>15.641855699267806</v>
      </c>
      <c r="P247" s="67">
        <f>G247*EXP(-H247*'Externe blootstelling'!$D$23/2)*O247</f>
        <v>4.2945481772775836E-6</v>
      </c>
      <c r="Q247" s="68"/>
    </row>
    <row r="248" spans="1:17" x14ac:dyDescent="0.2">
      <c r="A248" s="217"/>
      <c r="B248" s="64" t="s">
        <v>102</v>
      </c>
      <c r="C248" s="66">
        <v>4.6697699999999995E-2</v>
      </c>
      <c r="D248" s="66">
        <f t="shared" si="18"/>
        <v>7.4716319999999983E-15</v>
      </c>
      <c r="E248" s="66">
        <v>1.0000000000000001E-5</v>
      </c>
      <c r="F248" s="66">
        <f>_xlfn.IFNA(INDEX('hp (pSv cm2)'!$B$2:$B$52,MATCH($C248,'hp (pSv cm2)'!$A$2:$A$52,1))+($C248-INDEX('hp (pSv cm2)'!$A$2:$A$52,MATCH($C248,'hp (pSv cm2)'!$A$2:$A$52,1)))*(INDEX('hp (pSv cm2)'!$B$2:$B$52,MATCH($C248,'hp (pSv cm2)'!$A$2:$A$52,1)+1)-INDEX('hp (pSv cm2)'!$B$2:$B$52,MATCH($C248,'hp (pSv cm2)'!$A$2:$A$52,1)))/(INDEX('hp (pSv cm2)'!$A$2:$A$52,MATCH($C248,'hp (pSv cm2)'!$A$2:$A$52,1)+1)-INDEX('hp (pSv cm2)'!$A$2:$A$52,MATCH($C248,'hp (pSv cm2)'!$A$2:$A$52,1))),$C248*'hp (pSv cm2)'!$B$2/'hp (pSv cm2)'!$A$2)</f>
        <v>0.36272562999999997</v>
      </c>
      <c r="G248" s="67">
        <f t="shared" si="19"/>
        <v>3.6272562999999999E-6</v>
      </c>
      <c r="H248" s="83">
        <f>_xlfn.IFNA(0.997*(INDEX('Mass attenuation coefficients'!$B$2:$B$37,MATCH($C248,'Mass attenuation coefficients'!$A$2:$A$37,1))+($C248-INDEX('Mass attenuation coefficients'!$A$2:$A$37,MATCH($C248,'Mass attenuation coefficients'!$A$2:$A$37,1)))*(INDEX('Mass attenuation coefficients'!$B$2:$B$37,MATCH($C248,'Mass attenuation coefficients'!$A$2:$A$37,1)+1)-INDEX('Mass attenuation coefficients'!$B$2:$B$37,MATCH($C248,'Mass attenuation coefficients'!$A$2:$A$37,1)))/(INDEX('Mass attenuation coefficients'!$A$2:$A$37,MATCH($C248,'Mass attenuation coefficients'!$A$2:$A$37,1)+1)-INDEX('Mass attenuation coefficients'!$A$2:$A$37,MATCH($C248,'Mass attenuation coefficients'!$A$2:$A$37,1)))),0.997*$C248*'Mass attenuation coefficients'!$B$2/'Mass attenuation coefficients'!$A$2)</f>
        <v>0.239849807434</v>
      </c>
      <c r="I248" s="83">
        <f>_xlfn.IFNA(INDEX('Shultis Faw'!$C$2:$C$26,MATCH($C248,'Shultis Faw'!$A$2:$A$26,1))+($C248-INDEX('Shultis Faw'!$A$2:$A$26,MATCH($C248,'Shultis Faw'!$A$2:$A$26,1)))*(INDEX('Shultis Faw'!$C$2:$C$26,MATCH($C248,'Shultis Faw'!$A$2:$A$26,1)+1)-INDEX('Shultis Faw'!$C$2:$C$26,MATCH($C248,'Shultis Faw'!$A$2:$A$26,1)))/(INDEX('Shultis Faw'!$A$2:$A$26,MATCH($C248,'Shultis Faw'!$A$2:$A$26,1)+1)-INDEX('Shultis Faw'!$A$2:$A$26,MATCH($C248,'Shultis Faw'!$A$2:$A$26,1))),$C248*'Shultis Faw'!$C$2/'Shultis Faw'!$A$2)</f>
        <v>4.1360536799999998</v>
      </c>
      <c r="J248" s="83">
        <f>_xlfn.IFNA(INDEX('Shultis Faw'!$D$2:$D$26,MATCH($C248,'Shultis Faw'!$A$2:$A$26,1))+($C248-INDEX('Shultis Faw'!$A$2:$A$26,MATCH($C248,'Shultis Faw'!$A$2:$A$26,1)))*(INDEX('Shultis Faw'!$D$2:$D$26,MATCH($C248,'Shultis Faw'!$A$2:$A$26,1)+1)-INDEX('Shultis Faw'!$D$2:$D$26,MATCH($C248,'Shultis Faw'!$A$2:$A$26,1)))/(INDEX('Shultis Faw'!$A$2:$A$26,MATCH($C248,'Shultis Faw'!$A$2:$A$26,1)+1)-INDEX('Shultis Faw'!$A$2:$A$26,MATCH($C248,'Shultis Faw'!$A$2:$A$26,1))),$C248*'Shultis Faw'!$D$2/'Shultis Faw'!$A$2)</f>
        <v>1.3447217999999999</v>
      </c>
      <c r="K248" s="83">
        <f>_xlfn.IFNA(INDEX('Shultis Faw'!$B$2:$B$26,MATCH($C248,'Shultis Faw'!$A$2:$A$26,1))+($C248-INDEX('Shultis Faw'!$A$2:$A$26,MATCH($C248,'Shultis Faw'!$A$2:$A$26,1)))*(INDEX('Shultis Faw'!$B$2:$B$26,MATCH($C248,'Shultis Faw'!$A$2:$A$26,1)+1)-INDEX('Shultis Faw'!$B$2:$B$26,MATCH($C248,'Shultis Faw'!$A$2:$A$26,1)))/(INDEX('Shultis Faw'!$A$2:$A$26,MATCH($C248,'Shultis Faw'!$A$2:$A$26,1)+1)-INDEX('Shultis Faw'!$A$2:$A$26,MATCH($C248,'Shultis Faw'!$A$2:$A$26,1))),$C248*'Shultis Faw'!$B$2/'Shultis Faw'!$A$2)</f>
        <v>-6.2535049999999953E-2</v>
      </c>
      <c r="L248" s="83">
        <f>_xlfn.IFNA(INDEX('Shultis Faw'!$E$2:$E$26,MATCH($C248,'Shultis Faw'!$A$2:$A$26,1))+($C248-INDEX('Shultis Faw'!$A$2:$A$26,MATCH($C248,'Shultis Faw'!$A$2:$A$26,1)))*(INDEX('Shultis Faw'!$E$2:$E$26,MATCH($C248,'Shultis Faw'!$A$2:$A$26,1)+1)-INDEX('Shultis Faw'!$E$2:$E$26,MATCH($C248,'Shultis Faw'!$A$2:$A$26,1)))/(INDEX('Shultis Faw'!$A$2:$A$26,MATCH($C248,'Shultis Faw'!$A$2:$A$26,1)+1)-INDEX('Shultis Faw'!$A$2:$A$26,MATCH($C248,'Shultis Faw'!$A$2:$A$26,1))),$C248*'Shultis Faw'!$E$2/'Shultis Faw'!$A$2)</f>
        <v>2.3697754999999973E-2</v>
      </c>
      <c r="M248" s="83">
        <f>_xlfn.IFNA(INDEX('Shultis Faw'!$F$2:$F$26,MATCH($C248,'Shultis Faw'!$A$2:$A$26,1))+($C248-INDEX('Shultis Faw'!$A$2:$A$26,MATCH($C248,'Shultis Faw'!$A$2:$A$26,1)))*(INDEX('Shultis Faw'!$F$2:$F$26,MATCH($C248,'Shultis Faw'!$A$2:$A$26,1)+1)-INDEX('Shultis Faw'!$F$2:$F$26,MATCH($C248,'Shultis Faw'!$A$2:$A$26,1)))/(INDEX('Shultis Faw'!$A$2:$A$26,MATCH($C248,'Shultis Faw'!$A$2:$A$26,1)+1)-INDEX('Shultis Faw'!$A$2:$A$26,MATCH($C248,'Shultis Faw'!$A$2:$A$26,1))),$C248*'Shultis Faw'!$F$2/'Shultis Faw'!$A$2)</f>
        <v>12.976051499999997</v>
      </c>
      <c r="N248" s="83">
        <f>J248*(H248*'Externe blootstelling'!$D$23/2)^K248+L248*(TANH(((H248*'Externe blootstelling'!$D$23)/(2*M248))-2)-TANH(-2))/(1-TANH(-2))</f>
        <v>1.2415668178380312</v>
      </c>
      <c r="O248" s="83">
        <f>IF(N248=1,1+(I248-1)*H248*'Externe blootstelling'!$D$23/2,1+(I248-1)*(N248^(H248*'Externe blootstelling'!$D$23/2)-1)/(N248-1))</f>
        <v>16.294440644800737</v>
      </c>
      <c r="P248" s="67">
        <f>G248*EXP(-H248*'Externe blootstelling'!$D$23/2)*O248</f>
        <v>1.6185867559833984E-6</v>
      </c>
      <c r="Q248" s="68"/>
    </row>
    <row r="249" spans="1:17" x14ac:dyDescent="0.2">
      <c r="A249" s="217"/>
      <c r="B249" s="64" t="s">
        <v>102</v>
      </c>
      <c r="C249" s="66">
        <v>4.8768700000000005E-2</v>
      </c>
      <c r="D249" s="66">
        <f t="shared" si="18"/>
        <v>7.8029919999999998E-15</v>
      </c>
      <c r="E249" s="66">
        <v>4.0999999999999995E-2</v>
      </c>
      <c r="F249" s="66">
        <f>_xlfn.IFNA(INDEX('hp (pSv cm2)'!$B$2:$B$52,MATCH($C249,'hp (pSv cm2)'!$A$2:$A$52,1))+($C249-INDEX('hp (pSv cm2)'!$A$2:$A$52,MATCH($C249,'hp (pSv cm2)'!$A$2:$A$52,1)))*(INDEX('hp (pSv cm2)'!$B$2:$B$52,MATCH($C249,'hp (pSv cm2)'!$A$2:$A$52,1)+1)-INDEX('hp (pSv cm2)'!$B$2:$B$52,MATCH($C249,'hp (pSv cm2)'!$A$2:$A$52,1)))/(INDEX('hp (pSv cm2)'!$A$2:$A$52,MATCH($C249,'hp (pSv cm2)'!$A$2:$A$52,1)+1)-INDEX('hp (pSv cm2)'!$A$2:$A$52,MATCH($C249,'hp (pSv cm2)'!$A$2:$A$52,1))),$C249*'hp (pSv cm2)'!$B$2/'hp (pSv cm2)'!$A$2)</f>
        <v>0.36666052999999998</v>
      </c>
      <c r="G249" s="67">
        <f t="shared" si="19"/>
        <v>1.5033081729999998E-2</v>
      </c>
      <c r="H249" s="83">
        <f>_xlfn.IFNA(0.997*(INDEX('Mass attenuation coefficients'!$B$2:$B$37,MATCH($C249,'Mass attenuation coefficients'!$A$2:$A$37,1))+($C249-INDEX('Mass attenuation coefficients'!$A$2:$A$37,MATCH($C249,'Mass attenuation coefficients'!$A$2:$A$37,1)))*(INDEX('Mass attenuation coefficients'!$B$2:$B$37,MATCH($C249,'Mass attenuation coefficients'!$A$2:$A$37,1)+1)-INDEX('Mass attenuation coefficients'!$B$2:$B$37,MATCH($C249,'Mass attenuation coefficients'!$A$2:$A$37,1)))/(INDEX('Mass attenuation coefficients'!$A$2:$A$37,MATCH($C249,'Mass attenuation coefficients'!$A$2:$A$37,1)+1)-INDEX('Mass attenuation coefficients'!$A$2:$A$37,MATCH($C249,'Mass attenuation coefficients'!$A$2:$A$37,1)))),0.997*$C249*'Mass attenuation coefficients'!$B$2/'Mass attenuation coefficients'!$A$2)</f>
        <v>0.23130158925399999</v>
      </c>
      <c r="I249" s="83">
        <f>_xlfn.IFNA(INDEX('Shultis Faw'!$C$2:$C$26,MATCH($C249,'Shultis Faw'!$A$2:$A$26,1))+($C249-INDEX('Shultis Faw'!$A$2:$A$26,MATCH($C249,'Shultis Faw'!$A$2:$A$26,1)))*(INDEX('Shultis Faw'!$C$2:$C$26,MATCH($C249,'Shultis Faw'!$A$2:$A$26,1)+1)-INDEX('Shultis Faw'!$C$2:$C$26,MATCH($C249,'Shultis Faw'!$A$2:$A$26,1)))/(INDEX('Shultis Faw'!$A$2:$A$26,MATCH($C249,'Shultis Faw'!$A$2:$A$26,1)+1)-INDEX('Shultis Faw'!$A$2:$A$26,MATCH($C249,'Shultis Faw'!$A$2:$A$26,1))),$C249*'Shultis Faw'!$C$2/'Shultis Faw'!$A$2)</f>
        <v>4.3398400800000001</v>
      </c>
      <c r="J249" s="83">
        <f>_xlfn.IFNA(INDEX('Shultis Faw'!$D$2:$D$26,MATCH($C249,'Shultis Faw'!$A$2:$A$26,1))+($C249-INDEX('Shultis Faw'!$A$2:$A$26,MATCH($C249,'Shultis Faw'!$A$2:$A$26,1)))*(INDEX('Shultis Faw'!$D$2:$D$26,MATCH($C249,'Shultis Faw'!$A$2:$A$26,1)+1)-INDEX('Shultis Faw'!$D$2:$D$26,MATCH($C249,'Shultis Faw'!$A$2:$A$26,1)))/(INDEX('Shultis Faw'!$A$2:$A$26,MATCH($C249,'Shultis Faw'!$A$2:$A$26,1)+1)-INDEX('Shultis Faw'!$A$2:$A$26,MATCH($C249,'Shultis Faw'!$A$2:$A$26,1))),$C249*'Shultis Faw'!$D$2/'Shultis Faw'!$A$2)</f>
        <v>1.4151358000000003</v>
      </c>
      <c r="K249" s="83">
        <f>_xlfn.IFNA(INDEX('Shultis Faw'!$B$2:$B$26,MATCH($C249,'Shultis Faw'!$A$2:$A$26,1))+($C249-INDEX('Shultis Faw'!$A$2:$A$26,MATCH($C249,'Shultis Faw'!$A$2:$A$26,1)))*(INDEX('Shultis Faw'!$B$2:$B$26,MATCH($C249,'Shultis Faw'!$A$2:$A$26,1)+1)-INDEX('Shultis Faw'!$B$2:$B$26,MATCH($C249,'Shultis Faw'!$A$2:$A$26,1)))/(INDEX('Shultis Faw'!$A$2:$A$26,MATCH($C249,'Shultis Faw'!$A$2:$A$26,1)+1)-INDEX('Shultis Faw'!$A$2:$A$26,MATCH($C249,'Shultis Faw'!$A$2:$A$26,1))),$C249*'Shultis Faw'!$B$2/'Shultis Faw'!$A$2)</f>
        <v>-7.599655000000001E-2</v>
      </c>
      <c r="L249" s="83">
        <f>_xlfn.IFNA(INDEX('Shultis Faw'!$E$2:$E$26,MATCH($C249,'Shultis Faw'!$A$2:$A$26,1))+($C249-INDEX('Shultis Faw'!$A$2:$A$26,MATCH($C249,'Shultis Faw'!$A$2:$A$26,1)))*(INDEX('Shultis Faw'!$E$2:$E$26,MATCH($C249,'Shultis Faw'!$A$2:$A$26,1)+1)-INDEX('Shultis Faw'!$E$2:$E$26,MATCH($C249,'Shultis Faw'!$A$2:$A$26,1)))/(INDEX('Shultis Faw'!$A$2:$A$26,MATCH($C249,'Shultis Faw'!$A$2:$A$26,1)+1)-INDEX('Shultis Faw'!$A$2:$A$26,MATCH($C249,'Shultis Faw'!$A$2:$A$26,1))),$C249*'Shultis Faw'!$E$2/'Shultis Faw'!$A$2)</f>
        <v>3.0221405000000007E-2</v>
      </c>
      <c r="M249" s="83">
        <f>_xlfn.IFNA(INDEX('Shultis Faw'!$F$2:$F$26,MATCH($C249,'Shultis Faw'!$A$2:$A$26,1))+($C249-INDEX('Shultis Faw'!$A$2:$A$26,MATCH($C249,'Shultis Faw'!$A$2:$A$26,1)))*(INDEX('Shultis Faw'!$F$2:$F$26,MATCH($C249,'Shultis Faw'!$A$2:$A$26,1)+1)-INDEX('Shultis Faw'!$F$2:$F$26,MATCH($C249,'Shultis Faw'!$A$2:$A$26,1)))/(INDEX('Shultis Faw'!$A$2:$A$26,MATCH($C249,'Shultis Faw'!$A$2:$A$26,1)+1)-INDEX('Shultis Faw'!$A$2:$A$26,MATCH($C249,'Shultis Faw'!$A$2:$A$26,1))),$C249*'Shultis Faw'!$F$2/'Shultis Faw'!$A$2)</f>
        <v>13.379896499999999</v>
      </c>
      <c r="N249" s="83">
        <f>J249*(H249*'Externe blootstelling'!$D$23/2)^K249+L249*(TANH(((H249*'Externe blootstelling'!$D$23)/(2*M249))-2)-TANH(-2))/(1-TANH(-2))</f>
        <v>1.2878419791330469</v>
      </c>
      <c r="O249" s="83">
        <f>IF(N249=1,1+(I249-1)*H249*'Externe blootstelling'!$D$23/2,1+(I249-1)*(N249^(H249*'Externe blootstelling'!$D$23/2)-1)/(N249-1))</f>
        <v>17.30584429929776</v>
      </c>
      <c r="P249" s="67">
        <f>G249*EXP(-H249*'Externe blootstelling'!$D$23/2)*O249</f>
        <v>8.0992676802916011E-3</v>
      </c>
      <c r="Q249" s="68"/>
    </row>
    <row r="250" spans="1:17" x14ac:dyDescent="0.2">
      <c r="A250" s="217"/>
      <c r="B250" s="64" t="s">
        <v>102</v>
      </c>
      <c r="C250" s="66">
        <v>5.0093000000000006E-2</v>
      </c>
      <c r="D250" s="66">
        <f t="shared" si="18"/>
        <v>8.0148800000000006E-15</v>
      </c>
      <c r="E250" s="66">
        <v>1.0800000000000001E-2</v>
      </c>
      <c r="F250" s="66">
        <f>_xlfn.IFNA(INDEX('hp (pSv cm2)'!$B$2:$B$52,MATCH($C250,'hp (pSv cm2)'!$A$2:$A$52,1))+($C250-INDEX('hp (pSv cm2)'!$A$2:$A$52,MATCH($C250,'hp (pSv cm2)'!$A$2:$A$52,1)))*(INDEX('hp (pSv cm2)'!$B$2:$B$52,MATCH($C250,'hp (pSv cm2)'!$A$2:$A$52,1)+1)-INDEX('hp (pSv cm2)'!$B$2:$B$52,MATCH($C250,'hp (pSv cm2)'!$A$2:$A$52,1)))/(INDEX('hp (pSv cm2)'!$A$2:$A$52,MATCH($C250,'hp (pSv cm2)'!$A$2:$A$52,1)+1)-INDEX('hp (pSv cm2)'!$A$2:$A$52,MATCH($C250,'hp (pSv cm2)'!$A$2:$A$52,1))),$C250*'hp (pSv cm2)'!$B$2/'hp (pSv cm2)'!$A$2)</f>
        <v>0.36918600000000001</v>
      </c>
      <c r="G250" s="67">
        <f t="shared" si="19"/>
        <v>3.9872088000000002E-3</v>
      </c>
      <c r="H250" s="83">
        <f>_xlfn.IFNA(0.997*(INDEX('Mass attenuation coefficients'!$B$2:$B$37,MATCH($C250,'Mass attenuation coefficients'!$A$2:$A$37,1))+($C250-INDEX('Mass attenuation coefficients'!$A$2:$A$37,MATCH($C250,'Mass attenuation coefficients'!$A$2:$A$37,1)))*(INDEX('Mass attenuation coefficients'!$B$2:$B$37,MATCH($C250,'Mass attenuation coefficients'!$A$2:$A$37,1)+1)-INDEX('Mass attenuation coefficients'!$B$2:$B$37,MATCH($C250,'Mass attenuation coefficients'!$A$2:$A$37,1)))/(INDEX('Mass attenuation coefficients'!$A$2:$A$37,MATCH($C250,'Mass attenuation coefficients'!$A$2:$A$37,1)+1)-INDEX('Mass attenuation coefficients'!$A$2:$A$37,MATCH($C250,'Mass attenuation coefficients'!$A$2:$A$37,1)))),0.997*$C250*'Mass attenuation coefficients'!$B$2/'Mass attenuation coefficients'!$A$2)</f>
        <v>0.22602458589999999</v>
      </c>
      <c r="I250" s="83">
        <f>_xlfn.IFNA(INDEX('Shultis Faw'!$C$2:$C$26,MATCH($C250,'Shultis Faw'!$A$2:$A$26,1))+($C250-INDEX('Shultis Faw'!$A$2:$A$26,MATCH($C250,'Shultis Faw'!$A$2:$A$26,1)))*(INDEX('Shultis Faw'!$C$2:$C$26,MATCH($C250,'Shultis Faw'!$A$2:$A$26,1)+1)-INDEX('Shultis Faw'!$C$2:$C$26,MATCH($C250,'Shultis Faw'!$A$2:$A$26,1)))/(INDEX('Shultis Faw'!$A$2:$A$26,MATCH($C250,'Shultis Faw'!$A$2:$A$26,1)+1)-INDEX('Shultis Faw'!$A$2:$A$26,MATCH($C250,'Shultis Faw'!$A$2:$A$26,1))),$C250*'Shultis Faw'!$C$2/'Shultis Faw'!$A$2)</f>
        <v>4.4658546000000001</v>
      </c>
      <c r="J250" s="83">
        <f>_xlfn.IFNA(INDEX('Shultis Faw'!$D$2:$D$26,MATCH($C250,'Shultis Faw'!$A$2:$A$26,1))+($C250-INDEX('Shultis Faw'!$A$2:$A$26,MATCH($C250,'Shultis Faw'!$A$2:$A$26,1)))*(INDEX('Shultis Faw'!$D$2:$D$26,MATCH($C250,'Shultis Faw'!$A$2:$A$26,1)+1)-INDEX('Shultis Faw'!$D$2:$D$26,MATCH($C250,'Shultis Faw'!$A$2:$A$26,1)))/(INDEX('Shultis Faw'!$A$2:$A$26,MATCH($C250,'Shultis Faw'!$A$2:$A$26,1)+1)-INDEX('Shultis Faw'!$A$2:$A$26,MATCH($C250,'Shultis Faw'!$A$2:$A$26,1))),$C250*'Shultis Faw'!$D$2/'Shultis Faw'!$A$2)</f>
        <v>1.4595389000000001</v>
      </c>
      <c r="K250" s="83">
        <f>_xlfn.IFNA(INDEX('Shultis Faw'!$B$2:$B$26,MATCH($C250,'Shultis Faw'!$A$2:$A$26,1))+($C250-INDEX('Shultis Faw'!$A$2:$A$26,MATCH($C250,'Shultis Faw'!$A$2:$A$26,1)))*(INDEX('Shultis Faw'!$B$2:$B$26,MATCH($C250,'Shultis Faw'!$A$2:$A$26,1)+1)-INDEX('Shultis Faw'!$B$2:$B$26,MATCH($C250,'Shultis Faw'!$A$2:$A$26,1)))/(INDEX('Shultis Faw'!$A$2:$A$26,MATCH($C250,'Shultis Faw'!$A$2:$A$26,1)+1)-INDEX('Shultis Faw'!$A$2:$A$26,MATCH($C250,'Shultis Faw'!$A$2:$A$26,1))),$C250*'Shultis Faw'!$B$2/'Shultis Faw'!$A$2)</f>
        <v>-8.4390600000000024E-2</v>
      </c>
      <c r="L250" s="83">
        <f>_xlfn.IFNA(INDEX('Shultis Faw'!$E$2:$E$26,MATCH($C250,'Shultis Faw'!$A$2:$A$26,1))+($C250-INDEX('Shultis Faw'!$A$2:$A$26,MATCH($C250,'Shultis Faw'!$A$2:$A$26,1)))*(INDEX('Shultis Faw'!$E$2:$E$26,MATCH($C250,'Shultis Faw'!$A$2:$A$26,1)+1)-INDEX('Shultis Faw'!$E$2:$E$26,MATCH($C250,'Shultis Faw'!$A$2:$A$26,1)))/(INDEX('Shultis Faw'!$A$2:$A$26,MATCH($C250,'Shultis Faw'!$A$2:$A$26,1)+1)-INDEX('Shultis Faw'!$A$2:$A$26,MATCH($C250,'Shultis Faw'!$A$2:$A$26,1))),$C250*'Shultis Faw'!$E$2/'Shultis Faw'!$A$2)</f>
        <v>3.4304600000000005E-2</v>
      </c>
      <c r="M250" s="83">
        <f>_xlfn.IFNA(INDEX('Shultis Faw'!$F$2:$F$26,MATCH($C250,'Shultis Faw'!$A$2:$A$26,1))+($C250-INDEX('Shultis Faw'!$A$2:$A$26,MATCH($C250,'Shultis Faw'!$A$2:$A$26,1)))*(INDEX('Shultis Faw'!$F$2:$F$26,MATCH($C250,'Shultis Faw'!$A$2:$A$26,1)+1)-INDEX('Shultis Faw'!$F$2:$F$26,MATCH($C250,'Shultis Faw'!$A$2:$A$26,1)))/(INDEX('Shultis Faw'!$A$2:$A$26,MATCH($C250,'Shultis Faw'!$A$2:$A$26,1)+1)-INDEX('Shultis Faw'!$A$2:$A$26,MATCH($C250,'Shultis Faw'!$A$2:$A$26,1))),$C250*'Shultis Faw'!$F$2/'Shultis Faw'!$A$2)</f>
        <v>13.620185999999999</v>
      </c>
      <c r="N250" s="83">
        <f>J250*(H250*'Externe blootstelling'!$D$23/2)^K250+L250*(TANH(((H250*'Externe blootstelling'!$D$23)/(2*M250))-2)-TANH(-2))/(1-TANH(-2))</f>
        <v>1.3170358509551454</v>
      </c>
      <c r="O250" s="83">
        <f>IF(N250=1,1+(I250-1)*H250*'Externe blootstelling'!$D$23/2,1+(I250-1)*(N250^(H250*'Externe blootstelling'!$D$23/2)-1)/(N250-1))</f>
        <v>17.876720269906688</v>
      </c>
      <c r="P250" s="67">
        <f>G250*EXP(-H250*'Externe blootstelling'!$D$23/2)*O250</f>
        <v>2.4018084430911242E-3</v>
      </c>
      <c r="Q250" s="68"/>
    </row>
    <row r="251" spans="1:17" x14ac:dyDescent="0.2">
      <c r="A251" s="217"/>
      <c r="B251" s="64" t="s">
        <v>104</v>
      </c>
      <c r="C251" s="66">
        <v>5.8400000000000001E-2</v>
      </c>
      <c r="D251" s="66">
        <f t="shared" si="18"/>
        <v>9.3439999999999988E-15</v>
      </c>
      <c r="E251" s="66">
        <v>3.8999999999999999E-5</v>
      </c>
      <c r="F251" s="66">
        <f>_xlfn.IFNA(INDEX('hp (pSv cm2)'!$B$2:$B$52,MATCH($C251,'hp (pSv cm2)'!$A$2:$A$52,1))+($C251-INDEX('hp (pSv cm2)'!$A$2:$A$52,MATCH($C251,'hp (pSv cm2)'!$A$2:$A$52,1)))*(INDEX('hp (pSv cm2)'!$B$2:$B$52,MATCH($C251,'hp (pSv cm2)'!$A$2:$A$52,1)+1)-INDEX('hp (pSv cm2)'!$B$2:$B$52,MATCH($C251,'hp (pSv cm2)'!$A$2:$A$52,1)))/(INDEX('hp (pSv cm2)'!$A$2:$A$52,MATCH($C251,'hp (pSv cm2)'!$A$2:$A$52,1)+1)-INDEX('hp (pSv cm2)'!$A$2:$A$52,MATCH($C251,'hp (pSv cm2)'!$A$2:$A$52,1))),$C251*'hp (pSv cm2)'!$B$2/'hp (pSv cm2)'!$A$2)</f>
        <v>0.38580000000000003</v>
      </c>
      <c r="G251" s="67">
        <f t="shared" si="19"/>
        <v>1.5046200000000002E-5</v>
      </c>
      <c r="H251" s="83">
        <f>_xlfn.IFNA(0.997*(INDEX('Mass attenuation coefficients'!$B$2:$B$37,MATCH($C251,'Mass attenuation coefficients'!$A$2:$A$37,1))+($C251-INDEX('Mass attenuation coefficients'!$A$2:$A$37,MATCH($C251,'Mass attenuation coefficients'!$A$2:$A$37,1)))*(INDEX('Mass attenuation coefficients'!$B$2:$B$37,MATCH($C251,'Mass attenuation coefficients'!$A$2:$A$37,1)+1)-INDEX('Mass attenuation coefficients'!$B$2:$B$37,MATCH($C251,'Mass attenuation coefficients'!$A$2:$A$37,1)))/(INDEX('Mass attenuation coefficients'!$A$2:$A$37,MATCH($C251,'Mass attenuation coefficients'!$A$2:$A$37,1)+1)-INDEX('Mass attenuation coefficients'!$A$2:$A$37,MATCH($C251,'Mass attenuation coefficients'!$A$2:$A$37,1)))),0.997*$C251*'Mass attenuation coefficients'!$B$2/'Mass attenuation coefficients'!$A$2)</f>
        <v>0.20863222000000001</v>
      </c>
      <c r="I251" s="83">
        <f>_xlfn.IFNA(INDEX('Shultis Faw'!$C$2:$C$26,MATCH($C251,'Shultis Faw'!$A$2:$A$26,1))+($C251-INDEX('Shultis Faw'!$A$2:$A$26,MATCH($C251,'Shultis Faw'!$A$2:$A$26,1)))*(INDEX('Shultis Faw'!$C$2:$C$26,MATCH($C251,'Shultis Faw'!$A$2:$A$26,1)+1)-INDEX('Shultis Faw'!$C$2:$C$26,MATCH($C251,'Shultis Faw'!$A$2:$A$26,1)))/(INDEX('Shultis Faw'!$A$2:$A$26,MATCH($C251,'Shultis Faw'!$A$2:$A$26,1)+1)-INDEX('Shultis Faw'!$A$2:$A$26,MATCH($C251,'Shultis Faw'!$A$2:$A$26,1))),$C251*'Shultis Faw'!$C$2/'Shultis Faw'!$A$2)</f>
        <v>4.8994799999999996</v>
      </c>
      <c r="J251" s="83">
        <f>_xlfn.IFNA(INDEX('Shultis Faw'!$D$2:$D$26,MATCH($C251,'Shultis Faw'!$A$2:$A$26,1))+($C251-INDEX('Shultis Faw'!$A$2:$A$26,MATCH($C251,'Shultis Faw'!$A$2:$A$26,1)))*(INDEX('Shultis Faw'!$D$2:$D$26,MATCH($C251,'Shultis Faw'!$A$2:$A$26,1)+1)-INDEX('Shultis Faw'!$D$2:$D$26,MATCH($C251,'Shultis Faw'!$A$2:$A$26,1)))/(INDEX('Shultis Faw'!$A$2:$A$26,MATCH($C251,'Shultis Faw'!$A$2:$A$26,1)+1)-INDEX('Shultis Faw'!$A$2:$A$26,MATCH($C251,'Shultis Faw'!$A$2:$A$26,1))),$C251*'Shultis Faw'!$D$2/'Shultis Faw'!$A$2)</f>
        <v>1.68632</v>
      </c>
      <c r="K251" s="83">
        <f>_xlfn.IFNA(INDEX('Shultis Faw'!$B$2:$B$26,MATCH($C251,'Shultis Faw'!$A$2:$A$26,1))+($C251-INDEX('Shultis Faw'!$A$2:$A$26,MATCH($C251,'Shultis Faw'!$A$2:$A$26,1)))*(INDEX('Shultis Faw'!$B$2:$B$26,MATCH($C251,'Shultis Faw'!$A$2:$A$26,1)+1)-INDEX('Shultis Faw'!$B$2:$B$26,MATCH($C251,'Shultis Faw'!$A$2:$A$26,1)))/(INDEX('Shultis Faw'!$A$2:$A$26,MATCH($C251,'Shultis Faw'!$A$2:$A$26,1)+1)-INDEX('Shultis Faw'!$A$2:$A$26,MATCH($C251,'Shultis Faw'!$A$2:$A$26,1))),$C251*'Shultis Faw'!$B$2/'Shultis Faw'!$A$2)</f>
        <v>-0.11928000000000001</v>
      </c>
      <c r="L251" s="83">
        <f>_xlfn.IFNA(INDEX('Shultis Faw'!$E$2:$E$26,MATCH($C251,'Shultis Faw'!$A$2:$A$26,1))+($C251-INDEX('Shultis Faw'!$A$2:$A$26,MATCH($C251,'Shultis Faw'!$A$2:$A$26,1)))*(INDEX('Shultis Faw'!$E$2:$E$26,MATCH($C251,'Shultis Faw'!$A$2:$A$26,1)+1)-INDEX('Shultis Faw'!$E$2:$E$26,MATCH($C251,'Shultis Faw'!$A$2:$A$26,1)))/(INDEX('Shultis Faw'!$A$2:$A$26,MATCH($C251,'Shultis Faw'!$A$2:$A$26,1)+1)-INDEX('Shultis Faw'!$A$2:$A$26,MATCH($C251,'Shultis Faw'!$A$2:$A$26,1))),$C251*'Shultis Faw'!$E$2/'Shultis Faw'!$A$2)</f>
        <v>5.2580000000000002E-2</v>
      </c>
      <c r="M251" s="83">
        <f>_xlfn.IFNA(INDEX('Shultis Faw'!$F$2:$F$26,MATCH($C251,'Shultis Faw'!$A$2:$A$26,1))+($C251-INDEX('Shultis Faw'!$A$2:$A$26,MATCH($C251,'Shultis Faw'!$A$2:$A$26,1)))*(INDEX('Shultis Faw'!$F$2:$F$26,MATCH($C251,'Shultis Faw'!$A$2:$A$26,1)+1)-INDEX('Shultis Faw'!$F$2:$F$26,MATCH($C251,'Shultis Faw'!$A$2:$A$26,1)))/(INDEX('Shultis Faw'!$A$2:$A$26,MATCH($C251,'Shultis Faw'!$A$2:$A$26,1)+1)-INDEX('Shultis Faw'!$A$2:$A$26,MATCH($C251,'Shultis Faw'!$A$2:$A$26,1))),$C251*'Shultis Faw'!$F$2/'Shultis Faw'!$A$2)</f>
        <v>13.636800000000001</v>
      </c>
      <c r="N251" s="83">
        <f>J251*(H251*'Externe blootstelling'!$D$23/2)^K251+L251*(TANH(((H251*'Externe blootstelling'!$D$23)/(2*M251))-2)-TANH(-2))/(1-TANH(-2))</f>
        <v>1.4723153553702779</v>
      </c>
      <c r="O251" s="83">
        <f>IF(N251=1,1+(I251-1)*H251*'Externe blootstelling'!$D$23/2,1+(I251-1)*(N251^(H251*'Externe blootstelling'!$D$23/2)-1)/(N251-1))</f>
        <v>20.447139286966824</v>
      </c>
      <c r="P251" s="67">
        <f>G251*EXP(-H251*'Externe blootstelling'!$D$23/2)*O251</f>
        <v>1.3456808042585012E-5</v>
      </c>
      <c r="Q251" s="68"/>
    </row>
    <row r="252" spans="1:17" x14ac:dyDescent="0.2">
      <c r="A252" s="217"/>
      <c r="B252" s="64" t="s">
        <v>104</v>
      </c>
      <c r="C252" s="66">
        <v>8.0399999999999999E-2</v>
      </c>
      <c r="D252" s="66">
        <f t="shared" si="18"/>
        <v>1.2863999999999999E-14</v>
      </c>
      <c r="E252" s="66">
        <v>2.8E-5</v>
      </c>
      <c r="F252" s="66">
        <f>_xlfn.IFNA(INDEX('hp (pSv cm2)'!$B$2:$B$52,MATCH($C252,'hp (pSv cm2)'!$A$2:$A$52,1))+($C252-INDEX('hp (pSv cm2)'!$A$2:$A$52,MATCH($C252,'hp (pSv cm2)'!$A$2:$A$52,1)))*(INDEX('hp (pSv cm2)'!$B$2:$B$52,MATCH($C252,'hp (pSv cm2)'!$A$2:$A$52,1)+1)-INDEX('hp (pSv cm2)'!$B$2:$B$52,MATCH($C252,'hp (pSv cm2)'!$A$2:$A$52,1)))/(INDEX('hp (pSv cm2)'!$A$2:$A$52,MATCH($C252,'hp (pSv cm2)'!$A$2:$A$52,1)+1)-INDEX('hp (pSv cm2)'!$A$2:$A$52,MATCH($C252,'hp (pSv cm2)'!$A$2:$A$52,1))),$C252*'hp (pSv cm2)'!$B$2/'hp (pSv cm2)'!$A$2)</f>
        <v>0.44450000000000001</v>
      </c>
      <c r="G252" s="67">
        <f t="shared" si="19"/>
        <v>1.2446000000000001E-5</v>
      </c>
      <c r="H252" s="83">
        <f>_xlfn.IFNA(0.997*(INDEX('Mass attenuation coefficients'!$B$2:$B$37,MATCH($C252,'Mass attenuation coefficients'!$A$2:$A$37,1))+($C252-INDEX('Mass attenuation coefficients'!$A$2:$A$37,MATCH($C252,'Mass attenuation coefficients'!$A$2:$A$37,1)))*(INDEX('Mass attenuation coefficients'!$B$2:$B$37,MATCH($C252,'Mass attenuation coefficients'!$A$2:$A$37,1)+1)-INDEX('Mass attenuation coefficients'!$B$2:$B$37,MATCH($C252,'Mass attenuation coefficients'!$A$2:$A$37,1)))/(INDEX('Mass attenuation coefficients'!$A$2:$A$37,MATCH($C252,'Mass attenuation coefficients'!$A$2:$A$37,1)+1)-INDEX('Mass attenuation coefficients'!$A$2:$A$37,MATCH($C252,'Mass attenuation coefficients'!$A$2:$A$37,1)))),0.997*$C252*'Mass attenuation coefficients'!$B$2/'Mass attenuation coefficients'!$A$2)</f>
        <v>0.18288968</v>
      </c>
      <c r="I252" s="83">
        <f>_xlfn.IFNA(INDEX('Shultis Faw'!$C$2:$C$26,MATCH($C252,'Shultis Faw'!$A$2:$A$26,1))+($C252-INDEX('Shultis Faw'!$A$2:$A$26,MATCH($C252,'Shultis Faw'!$A$2:$A$26,1)))*(INDEX('Shultis Faw'!$C$2:$C$26,MATCH($C252,'Shultis Faw'!$A$2:$A$26,1)+1)-INDEX('Shultis Faw'!$C$2:$C$26,MATCH($C252,'Shultis Faw'!$A$2:$A$26,1)))/(INDEX('Shultis Faw'!$A$2:$A$26,MATCH($C252,'Shultis Faw'!$A$2:$A$26,1)+1)-INDEX('Shultis Faw'!$A$2:$A$26,MATCH($C252,'Shultis Faw'!$A$2:$A$26,1))),$C252*'Shultis Faw'!$C$2/'Shultis Faw'!$A$2)</f>
        <v>5.0510799999999998</v>
      </c>
      <c r="J252" s="83">
        <f>_xlfn.IFNA(INDEX('Shultis Faw'!$D$2:$D$26,MATCH($C252,'Shultis Faw'!$A$2:$A$26,1))+($C252-INDEX('Shultis Faw'!$A$2:$A$26,MATCH($C252,'Shultis Faw'!$A$2:$A$26,1)))*(INDEX('Shultis Faw'!$D$2:$D$26,MATCH($C252,'Shultis Faw'!$A$2:$A$26,1)+1)-INDEX('Shultis Faw'!$D$2:$D$26,MATCH($C252,'Shultis Faw'!$A$2:$A$26,1)))/(INDEX('Shultis Faw'!$A$2:$A$26,MATCH($C252,'Shultis Faw'!$A$2:$A$26,1)+1)-INDEX('Shultis Faw'!$A$2:$A$26,MATCH($C252,'Shultis Faw'!$A$2:$A$26,1))),$C252*'Shultis Faw'!$D$2/'Shultis Faw'!$A$2)</f>
        <v>2.0622400000000001</v>
      </c>
      <c r="K252" s="83">
        <f>_xlfn.IFNA(INDEX('Shultis Faw'!$B$2:$B$26,MATCH($C252,'Shultis Faw'!$A$2:$A$26,1))+($C252-INDEX('Shultis Faw'!$A$2:$A$26,MATCH($C252,'Shultis Faw'!$A$2:$A$26,1)))*(INDEX('Shultis Faw'!$B$2:$B$26,MATCH($C252,'Shultis Faw'!$A$2:$A$26,1)+1)-INDEX('Shultis Faw'!$B$2:$B$26,MATCH($C252,'Shultis Faw'!$A$2:$A$26,1)))/(INDEX('Shultis Faw'!$A$2:$A$26,MATCH($C252,'Shultis Faw'!$A$2:$A$26,1)+1)-INDEX('Shultis Faw'!$A$2:$A$26,MATCH($C252,'Shultis Faw'!$A$2:$A$26,1))),$C252*'Shultis Faw'!$B$2/'Shultis Faw'!$A$2)</f>
        <v>-0.16836000000000001</v>
      </c>
      <c r="L252" s="83">
        <f>_xlfn.IFNA(INDEX('Shultis Faw'!$E$2:$E$26,MATCH($C252,'Shultis Faw'!$A$2:$A$26,1))+($C252-INDEX('Shultis Faw'!$A$2:$A$26,MATCH($C252,'Shultis Faw'!$A$2:$A$26,1)))*(INDEX('Shultis Faw'!$E$2:$E$26,MATCH($C252,'Shultis Faw'!$A$2:$A$26,1)+1)-INDEX('Shultis Faw'!$E$2:$E$26,MATCH($C252,'Shultis Faw'!$A$2:$A$26,1)))/(INDEX('Shultis Faw'!$A$2:$A$26,MATCH($C252,'Shultis Faw'!$A$2:$A$26,1)+1)-INDEX('Shultis Faw'!$A$2:$A$26,MATCH($C252,'Shultis Faw'!$A$2:$A$26,1))),$C252*'Shultis Faw'!$E$2/'Shultis Faw'!$A$2)</f>
        <v>7.7112E-2</v>
      </c>
      <c r="M252" s="83">
        <f>_xlfn.IFNA(INDEX('Shultis Faw'!$F$2:$F$26,MATCH($C252,'Shultis Faw'!$A$2:$A$26,1))+($C252-INDEX('Shultis Faw'!$A$2:$A$26,MATCH($C252,'Shultis Faw'!$A$2:$A$26,1)))*(INDEX('Shultis Faw'!$F$2:$F$26,MATCH($C252,'Shultis Faw'!$A$2:$A$26,1)+1)-INDEX('Shultis Faw'!$F$2:$F$26,MATCH($C252,'Shultis Faw'!$A$2:$A$26,1)))/(INDEX('Shultis Faw'!$A$2:$A$26,MATCH($C252,'Shultis Faw'!$A$2:$A$26,1)+1)-INDEX('Shultis Faw'!$A$2:$A$26,MATCH($C252,'Shultis Faw'!$A$2:$A$26,1))),$C252*'Shultis Faw'!$F$2/'Shultis Faw'!$A$2)</f>
        <v>13.6632</v>
      </c>
      <c r="N252" s="83">
        <f>J252*(H252*'Externe blootstelling'!$D$23/2)^K252+L252*(TANH(((H252*'Externe blootstelling'!$D$23)/(2*M252))-2)-TANH(-2))/(1-TANH(-2))</f>
        <v>1.7406835910519034</v>
      </c>
      <c r="O252" s="83">
        <f>IF(N252=1,1+(I252-1)*H252*'Externe blootstelling'!$D$23/2,1+(I252-1)*(N252^(H252*'Externe blootstelling'!$D$23/2)-1)/(N252-1))</f>
        <v>20.552255973728442</v>
      </c>
      <c r="P252" s="67">
        <f>G252*EXP(-H252*'Externe blootstelling'!$D$23/2)*O252</f>
        <v>1.6461507896557175E-5</v>
      </c>
      <c r="Q252" s="68"/>
    </row>
    <row r="253" spans="1:17" x14ac:dyDescent="0.2">
      <c r="A253" s="217"/>
      <c r="B253" s="64" t="s">
        <v>104</v>
      </c>
      <c r="C253" s="66">
        <v>8.1989999999999993E-2</v>
      </c>
      <c r="D253" s="66">
        <f t="shared" si="18"/>
        <v>1.31184E-14</v>
      </c>
      <c r="E253" s="66">
        <v>3.1000000000000001E-5</v>
      </c>
      <c r="F253" s="66">
        <f>_xlfn.IFNA(INDEX('hp (pSv cm2)'!$B$2:$B$52,MATCH($C253,'hp (pSv cm2)'!$A$2:$A$52,1))+($C253-INDEX('hp (pSv cm2)'!$A$2:$A$52,MATCH($C253,'hp (pSv cm2)'!$A$2:$A$52,1)))*(INDEX('hp (pSv cm2)'!$B$2:$B$52,MATCH($C253,'hp (pSv cm2)'!$A$2:$A$52,1)+1)-INDEX('hp (pSv cm2)'!$B$2:$B$52,MATCH($C253,'hp (pSv cm2)'!$A$2:$A$52,1)))/(INDEX('hp (pSv cm2)'!$A$2:$A$52,MATCH($C253,'hp (pSv cm2)'!$A$2:$A$52,1)+1)-INDEX('hp (pSv cm2)'!$A$2:$A$52,MATCH($C253,'hp (pSv cm2)'!$A$2:$A$52,1))),$C253*'hp (pSv cm2)'!$B$2/'hp (pSv cm2)'!$A$2)</f>
        <v>0.45046249999999999</v>
      </c>
      <c r="G253" s="67">
        <f t="shared" si="19"/>
        <v>1.39643375E-5</v>
      </c>
      <c r="H253" s="83">
        <f>_xlfn.IFNA(0.997*(INDEX('Mass attenuation coefficients'!$B$2:$B$37,MATCH($C253,'Mass attenuation coefficients'!$A$2:$A$37,1))+($C253-INDEX('Mass attenuation coefficients'!$A$2:$A$37,MATCH($C253,'Mass attenuation coefficients'!$A$2:$A$37,1)))*(INDEX('Mass attenuation coefficients'!$B$2:$B$37,MATCH($C253,'Mass attenuation coefficients'!$A$2:$A$37,1)+1)-INDEX('Mass attenuation coefficients'!$B$2:$B$37,MATCH($C253,'Mass attenuation coefficients'!$A$2:$A$37,1)))/(INDEX('Mass attenuation coefficients'!$A$2:$A$37,MATCH($C253,'Mass attenuation coefficients'!$A$2:$A$37,1)+1)-INDEX('Mass attenuation coefficients'!$A$2:$A$37,MATCH($C253,'Mass attenuation coefficients'!$A$2:$A$37,1)))),0.997*$C253*'Mass attenuation coefficients'!$B$2/'Mass attenuation coefficients'!$A$2)</f>
        <v>0.1818592805</v>
      </c>
      <c r="I253" s="83">
        <f>_xlfn.IFNA(INDEX('Shultis Faw'!$C$2:$C$26,MATCH($C253,'Shultis Faw'!$A$2:$A$26,1))+($C253-INDEX('Shultis Faw'!$A$2:$A$26,MATCH($C253,'Shultis Faw'!$A$2:$A$26,1)))*(INDEX('Shultis Faw'!$C$2:$C$26,MATCH($C253,'Shultis Faw'!$A$2:$A$26,1)+1)-INDEX('Shultis Faw'!$C$2:$C$26,MATCH($C253,'Shultis Faw'!$A$2:$A$26,1)))/(INDEX('Shultis Faw'!$A$2:$A$26,MATCH($C253,'Shultis Faw'!$A$2:$A$26,1)+1)-INDEX('Shultis Faw'!$A$2:$A$26,MATCH($C253,'Shultis Faw'!$A$2:$A$26,1))),$C253*'Shultis Faw'!$C$2/'Shultis Faw'!$A$2)</f>
        <v>5.0195980000000002</v>
      </c>
      <c r="J253" s="83">
        <f>_xlfn.IFNA(INDEX('Shultis Faw'!$D$2:$D$26,MATCH($C253,'Shultis Faw'!$A$2:$A$26,1))+($C253-INDEX('Shultis Faw'!$A$2:$A$26,MATCH($C253,'Shultis Faw'!$A$2:$A$26,1)))*(INDEX('Shultis Faw'!$D$2:$D$26,MATCH($C253,'Shultis Faw'!$A$2:$A$26,1)+1)-INDEX('Shultis Faw'!$D$2:$D$26,MATCH($C253,'Shultis Faw'!$A$2:$A$26,1)))/(INDEX('Shultis Faw'!$A$2:$A$26,MATCH($C253,'Shultis Faw'!$A$2:$A$26,1)+1)-INDEX('Shultis Faw'!$A$2:$A$26,MATCH($C253,'Shultis Faw'!$A$2:$A$26,1))),$C253*'Shultis Faw'!$D$2/'Shultis Faw'!$A$2)</f>
        <v>2.0751189999999999</v>
      </c>
      <c r="K253" s="83">
        <f>_xlfn.IFNA(INDEX('Shultis Faw'!$B$2:$B$26,MATCH($C253,'Shultis Faw'!$A$2:$A$26,1))+($C253-INDEX('Shultis Faw'!$A$2:$A$26,MATCH($C253,'Shultis Faw'!$A$2:$A$26,1)))*(INDEX('Shultis Faw'!$B$2:$B$26,MATCH($C253,'Shultis Faw'!$A$2:$A$26,1)+1)-INDEX('Shultis Faw'!$B$2:$B$26,MATCH($C253,'Shultis Faw'!$A$2:$A$26,1)))/(INDEX('Shultis Faw'!$A$2:$A$26,MATCH($C253,'Shultis Faw'!$A$2:$A$26,1)+1)-INDEX('Shultis Faw'!$A$2:$A$26,MATCH($C253,'Shultis Faw'!$A$2:$A$26,1))),$C253*'Shultis Faw'!$B$2/'Shultis Faw'!$A$2)</f>
        <v>-0.169791</v>
      </c>
      <c r="L253" s="83">
        <f>_xlfn.IFNA(INDEX('Shultis Faw'!$E$2:$E$26,MATCH($C253,'Shultis Faw'!$A$2:$A$26,1))+($C253-INDEX('Shultis Faw'!$A$2:$A$26,MATCH($C253,'Shultis Faw'!$A$2:$A$26,1)))*(INDEX('Shultis Faw'!$E$2:$E$26,MATCH($C253,'Shultis Faw'!$A$2:$A$26,1)+1)-INDEX('Shultis Faw'!$E$2:$E$26,MATCH($C253,'Shultis Faw'!$A$2:$A$26,1)))/(INDEX('Shultis Faw'!$A$2:$A$26,MATCH($C253,'Shultis Faw'!$A$2:$A$26,1)+1)-INDEX('Shultis Faw'!$A$2:$A$26,MATCH($C253,'Shultis Faw'!$A$2:$A$26,1))),$C253*'Shultis Faw'!$E$2/'Shultis Faw'!$A$2)</f>
        <v>7.7557199999999993E-2</v>
      </c>
      <c r="M253" s="83">
        <f>_xlfn.IFNA(INDEX('Shultis Faw'!$F$2:$F$26,MATCH($C253,'Shultis Faw'!$A$2:$A$26,1))+($C253-INDEX('Shultis Faw'!$A$2:$A$26,MATCH($C253,'Shultis Faw'!$A$2:$A$26,1)))*(INDEX('Shultis Faw'!$F$2:$F$26,MATCH($C253,'Shultis Faw'!$A$2:$A$26,1)+1)-INDEX('Shultis Faw'!$F$2:$F$26,MATCH($C253,'Shultis Faw'!$A$2:$A$26,1)))/(INDEX('Shultis Faw'!$A$2:$A$26,MATCH($C253,'Shultis Faw'!$A$2:$A$26,1)+1)-INDEX('Shultis Faw'!$A$2:$A$26,MATCH($C253,'Shultis Faw'!$A$2:$A$26,1))),$C253*'Shultis Faw'!$F$2/'Shultis Faw'!$A$2)</f>
        <v>13.63617</v>
      </c>
      <c r="N253" s="83">
        <f>J253*(H253*'Externe blootstelling'!$D$23/2)^K253+L253*(TANH(((H253*'Externe blootstelling'!$D$23)/(2*M253))-2)-TANH(-2))/(1-TANH(-2))</f>
        <v>1.7507024281423635</v>
      </c>
      <c r="O253" s="83">
        <f>IF(N253=1,1+(I253-1)*H253*'Externe blootstelling'!$D$23/2,1+(I253-1)*(N253^(H253*'Externe blootstelling'!$D$23/2)-1)/(N253-1))</f>
        <v>20.315661742963574</v>
      </c>
      <c r="P253" s="67">
        <f>G253*EXP(-H253*'Externe blootstelling'!$D$23/2)*O253</f>
        <v>1.8541466453719628E-5</v>
      </c>
      <c r="Q253" s="68"/>
    </row>
    <row r="254" spans="1:17" x14ac:dyDescent="0.2">
      <c r="A254" s="217"/>
      <c r="B254" s="64" t="s">
        <v>104</v>
      </c>
      <c r="C254" s="66">
        <v>0.1230706</v>
      </c>
      <c r="D254" s="66">
        <f t="shared" si="18"/>
        <v>1.9691295999999999E-14</v>
      </c>
      <c r="E254" s="66">
        <v>0.40399999999999997</v>
      </c>
      <c r="F254" s="66">
        <f>_xlfn.IFNA(INDEX('hp (pSv cm2)'!$B$2:$B$52,MATCH($C254,'hp (pSv cm2)'!$A$2:$A$52,1))+($C254-INDEX('hp (pSv cm2)'!$A$2:$A$52,MATCH($C254,'hp (pSv cm2)'!$A$2:$A$52,1)))*(INDEX('hp (pSv cm2)'!$B$2:$B$52,MATCH($C254,'hp (pSv cm2)'!$A$2:$A$52,1)+1)-INDEX('hp (pSv cm2)'!$B$2:$B$52,MATCH($C254,'hp (pSv cm2)'!$A$2:$A$52,1)))/(INDEX('hp (pSv cm2)'!$A$2:$A$52,MATCH($C254,'hp (pSv cm2)'!$A$2:$A$52,1)+1)-INDEX('hp (pSv cm2)'!$A$2:$A$52,MATCH($C254,'hp (pSv cm2)'!$A$2:$A$52,1))),$C254*'hp (pSv cm2)'!$B$2/'hp (pSv cm2)'!$A$2)</f>
        <v>0.62366334800000001</v>
      </c>
      <c r="G254" s="67">
        <f t="shared" si="19"/>
        <v>0.25195999259199997</v>
      </c>
      <c r="H254" s="83">
        <f>_xlfn.IFNA(0.997*(INDEX('Mass attenuation coefficients'!$B$2:$B$37,MATCH($C254,'Mass attenuation coefficients'!$A$2:$A$37,1))+($C254-INDEX('Mass attenuation coefficients'!$A$2:$A$37,MATCH($C254,'Mass attenuation coefficients'!$A$2:$A$37,1)))*(INDEX('Mass attenuation coefficients'!$B$2:$B$37,MATCH($C254,'Mass attenuation coefficients'!$A$2:$A$37,1)+1)-INDEX('Mass attenuation coefficients'!$B$2:$B$37,MATCH($C254,'Mass attenuation coefficients'!$A$2:$A$37,1)))/(INDEX('Mass attenuation coefficients'!$A$2:$A$37,MATCH($C254,'Mass attenuation coefficients'!$A$2:$A$37,1)+1)-INDEX('Mass attenuation coefficients'!$A$2:$A$37,MATCH($C254,'Mass attenuation coefficients'!$A$2:$A$37,1)))),0.997*$C254*'Mass attenuation coefficients'!$B$2/'Mass attenuation coefficients'!$A$2)</f>
        <v>0.16089533916719997</v>
      </c>
      <c r="I254" s="83">
        <f>_xlfn.IFNA(INDEX('Shultis Faw'!$C$2:$C$26,MATCH($C254,'Shultis Faw'!$A$2:$A$26,1))+($C254-INDEX('Shultis Faw'!$A$2:$A$26,MATCH($C254,'Shultis Faw'!$A$2:$A$26,1)))*(INDEX('Shultis Faw'!$C$2:$C$26,MATCH($C254,'Shultis Faw'!$A$2:$A$26,1)+1)-INDEX('Shultis Faw'!$C$2:$C$26,MATCH($C254,'Shultis Faw'!$A$2:$A$26,1)))/(INDEX('Shultis Faw'!$A$2:$A$26,MATCH($C254,'Shultis Faw'!$A$2:$A$26,1)+1)-INDEX('Shultis Faw'!$A$2:$A$26,MATCH($C254,'Shultis Faw'!$A$2:$A$26,1))),$C254*'Shultis Faw'!$C$2/'Shultis Faw'!$A$2)</f>
        <v>4.309558408</v>
      </c>
      <c r="J254" s="83">
        <f>_xlfn.IFNA(INDEX('Shultis Faw'!$D$2:$D$26,MATCH($C254,'Shultis Faw'!$A$2:$A$26,1))+($C254-INDEX('Shultis Faw'!$A$2:$A$26,MATCH($C254,'Shultis Faw'!$A$2:$A$26,1)))*(INDEX('Shultis Faw'!$D$2:$D$26,MATCH($C254,'Shultis Faw'!$A$2:$A$26,1)+1)-INDEX('Shultis Faw'!$D$2:$D$26,MATCH($C254,'Shultis Faw'!$A$2:$A$26,1)))/(INDEX('Shultis Faw'!$A$2:$A$26,MATCH($C254,'Shultis Faw'!$A$2:$A$26,1)+1)-INDEX('Shultis Faw'!$A$2:$A$26,MATCH($C254,'Shultis Faw'!$A$2:$A$26,1))),$C254*'Shultis Faw'!$D$2/'Shultis Faw'!$A$2)</f>
        <v>2.2306896520000001</v>
      </c>
      <c r="K254" s="83">
        <f>_xlfn.IFNA(INDEX('Shultis Faw'!$B$2:$B$26,MATCH($C254,'Shultis Faw'!$A$2:$A$26,1))+($C254-INDEX('Shultis Faw'!$A$2:$A$26,MATCH($C254,'Shultis Faw'!$A$2:$A$26,1)))*(INDEX('Shultis Faw'!$B$2:$B$26,MATCH($C254,'Shultis Faw'!$A$2:$A$26,1)+1)-INDEX('Shultis Faw'!$B$2:$B$26,MATCH($C254,'Shultis Faw'!$A$2:$A$26,1)))/(INDEX('Shultis Faw'!$A$2:$A$26,MATCH($C254,'Shultis Faw'!$A$2:$A$26,1)+1)-INDEX('Shultis Faw'!$A$2:$A$26,MATCH($C254,'Shultis Faw'!$A$2:$A$26,1))),$C254*'Shultis Faw'!$B$2/'Shultis Faw'!$A$2)</f>
        <v>-0.185538588</v>
      </c>
      <c r="L254" s="83">
        <f>_xlfn.IFNA(INDEX('Shultis Faw'!$E$2:$E$26,MATCH($C254,'Shultis Faw'!$A$2:$A$26,1))+($C254-INDEX('Shultis Faw'!$A$2:$A$26,MATCH($C254,'Shultis Faw'!$A$2:$A$26,1)))*(INDEX('Shultis Faw'!$E$2:$E$26,MATCH($C254,'Shultis Faw'!$A$2:$A$26,1)+1)-INDEX('Shultis Faw'!$E$2:$E$26,MATCH($C254,'Shultis Faw'!$A$2:$A$26,1)))/(INDEX('Shultis Faw'!$A$2:$A$26,MATCH($C254,'Shultis Faw'!$A$2:$A$26,1)+1)-INDEX('Shultis Faw'!$A$2:$A$26,MATCH($C254,'Shultis Faw'!$A$2:$A$26,1))),$C254*'Shultis Faw'!$E$2/'Shultis Faw'!$A$2)</f>
        <v>8.0339081200000009E-2</v>
      </c>
      <c r="M254" s="83">
        <f>_xlfn.IFNA(INDEX('Shultis Faw'!$F$2:$F$26,MATCH($C254,'Shultis Faw'!$A$2:$A$26,1))+($C254-INDEX('Shultis Faw'!$A$2:$A$26,MATCH($C254,'Shultis Faw'!$A$2:$A$26,1)))*(INDEX('Shultis Faw'!$F$2:$F$26,MATCH($C254,'Shultis Faw'!$A$2:$A$26,1)+1)-INDEX('Shultis Faw'!$F$2:$F$26,MATCH($C254,'Shultis Faw'!$A$2:$A$26,1)))/(INDEX('Shultis Faw'!$A$2:$A$26,MATCH($C254,'Shultis Faw'!$A$2:$A$26,1)+1)-INDEX('Shultis Faw'!$A$2:$A$26,MATCH($C254,'Shultis Faw'!$A$2:$A$26,1))),$C254*'Shultis Faw'!$F$2/'Shultis Faw'!$A$2)</f>
        <v>13.726814319999999</v>
      </c>
      <c r="N254" s="83">
        <f>J254*(H254*'Externe blootstelling'!$D$23/2)^K254+L254*(TANH(((H254*'Externe blootstelling'!$D$23)/(2*M254))-2)-TANH(-2))/(1-TANH(-2))</f>
        <v>1.8948907531993597</v>
      </c>
      <c r="O254" s="83">
        <f>IF(N254=1,1+(I254-1)*H254*'Externe blootstelling'!$D$23/2,1+(I254-1)*(N254^(H254*'Externe blootstelling'!$D$23/2)-1)/(N254-1))</f>
        <v>14.597094940564002</v>
      </c>
      <c r="P254" s="67">
        <f>G254*EXP(-H254*'Externe blootstelling'!$D$23/2)*O254</f>
        <v>0.32919910829171245</v>
      </c>
      <c r="Q254" s="68"/>
    </row>
    <row r="255" spans="1:17" x14ac:dyDescent="0.2">
      <c r="A255" s="217"/>
      <c r="B255" s="64" t="s">
        <v>104</v>
      </c>
      <c r="C255" s="66">
        <v>0.12539</v>
      </c>
      <c r="D255" s="66">
        <f t="shared" si="18"/>
        <v>2.0062399999999999E-14</v>
      </c>
      <c r="E255" s="66">
        <v>7.0000000000000007E-5</v>
      </c>
      <c r="F255" s="66">
        <f>_xlfn.IFNA(INDEX('hp (pSv cm2)'!$B$2:$B$52,MATCH($C255,'hp (pSv cm2)'!$A$2:$A$52,1))+($C255-INDEX('hp (pSv cm2)'!$A$2:$A$52,MATCH($C255,'hp (pSv cm2)'!$A$2:$A$52,1)))*(INDEX('hp (pSv cm2)'!$B$2:$B$52,MATCH($C255,'hp (pSv cm2)'!$A$2:$A$52,1)+1)-INDEX('hp (pSv cm2)'!$B$2:$B$52,MATCH($C255,'hp (pSv cm2)'!$A$2:$A$52,1)))/(INDEX('hp (pSv cm2)'!$A$2:$A$52,MATCH($C255,'hp (pSv cm2)'!$A$2:$A$52,1)+1)-INDEX('hp (pSv cm2)'!$A$2:$A$52,MATCH($C255,'hp (pSv cm2)'!$A$2:$A$52,1))),$C255*'hp (pSv cm2)'!$B$2/'hp (pSv cm2)'!$A$2)</f>
        <v>0.63428620000000002</v>
      </c>
      <c r="G255" s="67">
        <f t="shared" si="19"/>
        <v>4.4400034000000008E-5</v>
      </c>
      <c r="H255" s="83">
        <f>_xlfn.IFNA(0.997*(INDEX('Mass attenuation coefficients'!$B$2:$B$37,MATCH($C255,'Mass attenuation coefficients'!$A$2:$A$37,1))+($C255-INDEX('Mass attenuation coefficients'!$A$2:$A$37,MATCH($C255,'Mass attenuation coefficients'!$A$2:$A$37,1)))*(INDEX('Mass attenuation coefficients'!$B$2:$B$37,MATCH($C255,'Mass attenuation coefficients'!$A$2:$A$37,1)+1)-INDEX('Mass attenuation coefficients'!$B$2:$B$37,MATCH($C255,'Mass attenuation coefficients'!$A$2:$A$37,1)))/(INDEX('Mass attenuation coefficients'!$A$2:$A$37,MATCH($C255,'Mass attenuation coefficients'!$A$2:$A$37,1)+1)-INDEX('Mass attenuation coefficients'!$A$2:$A$37,MATCH($C255,'Mass attenuation coefficients'!$A$2:$A$37,1)))),0.997*$C255*'Mass attenuation coefficients'!$B$2/'Mass attenuation coefficients'!$A$2)</f>
        <v>0.15996111267999999</v>
      </c>
      <c r="I255" s="83">
        <f>_xlfn.IFNA(INDEX('Shultis Faw'!$C$2:$C$26,MATCH($C255,'Shultis Faw'!$A$2:$A$26,1))+($C255-INDEX('Shultis Faw'!$A$2:$A$26,MATCH($C255,'Shultis Faw'!$A$2:$A$26,1)))*(INDEX('Shultis Faw'!$C$2:$C$26,MATCH($C255,'Shultis Faw'!$A$2:$A$26,1)+1)-INDEX('Shultis Faw'!$C$2:$C$26,MATCH($C255,'Shultis Faw'!$A$2:$A$26,1)))/(INDEX('Shultis Faw'!$A$2:$A$26,MATCH($C255,'Shultis Faw'!$A$2:$A$26,1)+1)-INDEX('Shultis Faw'!$A$2:$A$26,MATCH($C255,'Shultis Faw'!$A$2:$A$26,1))),$C255*'Shultis Faw'!$C$2/'Shultis Faw'!$A$2)</f>
        <v>4.2740251999999996</v>
      </c>
      <c r="J255" s="83">
        <f>_xlfn.IFNA(INDEX('Shultis Faw'!$D$2:$D$26,MATCH($C255,'Shultis Faw'!$A$2:$A$26,1))+($C255-INDEX('Shultis Faw'!$A$2:$A$26,MATCH($C255,'Shultis Faw'!$A$2:$A$26,1)))*(INDEX('Shultis Faw'!$D$2:$D$26,MATCH($C255,'Shultis Faw'!$A$2:$A$26,1)+1)-INDEX('Shultis Faw'!$D$2:$D$26,MATCH($C255,'Shultis Faw'!$A$2:$A$26,1)))/(INDEX('Shultis Faw'!$A$2:$A$26,MATCH($C255,'Shultis Faw'!$A$2:$A$26,1)+1)-INDEX('Shultis Faw'!$A$2:$A$26,MATCH($C255,'Shultis Faw'!$A$2:$A$26,1))),$C255*'Shultis Faw'!$D$2/'Shultis Faw'!$A$2)</f>
        <v>2.2316638000000002</v>
      </c>
      <c r="K255" s="83">
        <f>_xlfn.IFNA(INDEX('Shultis Faw'!$B$2:$B$26,MATCH($C255,'Shultis Faw'!$A$2:$A$26,1))+($C255-INDEX('Shultis Faw'!$A$2:$A$26,MATCH($C255,'Shultis Faw'!$A$2:$A$26,1)))*(INDEX('Shultis Faw'!$B$2:$B$26,MATCH($C255,'Shultis Faw'!$A$2:$A$26,1)+1)-INDEX('Shultis Faw'!$B$2:$B$26,MATCH($C255,'Shultis Faw'!$A$2:$A$26,1)))/(INDEX('Shultis Faw'!$A$2:$A$26,MATCH($C255,'Shultis Faw'!$A$2:$A$26,1)+1)-INDEX('Shultis Faw'!$A$2:$A$26,MATCH($C255,'Shultis Faw'!$A$2:$A$26,1))),$C255*'Shultis Faw'!$B$2/'Shultis Faw'!$A$2)</f>
        <v>-0.1854922</v>
      </c>
      <c r="L255" s="83">
        <f>_xlfn.IFNA(INDEX('Shultis Faw'!$E$2:$E$26,MATCH($C255,'Shultis Faw'!$A$2:$A$26,1))+($C255-INDEX('Shultis Faw'!$A$2:$A$26,MATCH($C255,'Shultis Faw'!$A$2:$A$26,1)))*(INDEX('Shultis Faw'!$E$2:$E$26,MATCH($C255,'Shultis Faw'!$A$2:$A$26,1)+1)-INDEX('Shultis Faw'!$E$2:$E$26,MATCH($C255,'Shultis Faw'!$A$2:$A$26,1)))/(INDEX('Shultis Faw'!$A$2:$A$26,MATCH($C255,'Shultis Faw'!$A$2:$A$26,1)+1)-INDEX('Shultis Faw'!$A$2:$A$26,MATCH($C255,'Shultis Faw'!$A$2:$A$26,1))),$C255*'Shultis Faw'!$E$2/'Shultis Faw'!$A$2)</f>
        <v>8.0111780000000007E-2</v>
      </c>
      <c r="M255" s="83">
        <f>_xlfn.IFNA(INDEX('Shultis Faw'!$F$2:$F$26,MATCH($C255,'Shultis Faw'!$A$2:$A$26,1))+($C255-INDEX('Shultis Faw'!$A$2:$A$26,MATCH($C255,'Shultis Faw'!$A$2:$A$26,1)))*(INDEX('Shultis Faw'!$F$2:$F$26,MATCH($C255,'Shultis Faw'!$A$2:$A$26,1)+1)-INDEX('Shultis Faw'!$F$2:$F$26,MATCH($C255,'Shultis Faw'!$A$2:$A$26,1)))/(INDEX('Shultis Faw'!$A$2:$A$26,MATCH($C255,'Shultis Faw'!$A$2:$A$26,1)+1)-INDEX('Shultis Faw'!$A$2:$A$26,MATCH($C255,'Shultis Faw'!$A$2:$A$26,1))),$C255*'Shultis Faw'!$F$2/'Shultis Faw'!$A$2)</f>
        <v>13.766708</v>
      </c>
      <c r="N255" s="83">
        <f>J255*(H255*'Externe blootstelling'!$D$23/2)^K255+L255*(TANH(((H255*'Externe blootstelling'!$D$23)/(2*M255))-2)-TANH(-2))/(1-TANH(-2))</f>
        <v>1.8978358481042652</v>
      </c>
      <c r="O255" s="83">
        <f>IF(N255=1,1+(I255-1)*H255*'Externe blootstelling'!$D$23/2,1+(I255-1)*(N255^(H255*'Externe blootstelling'!$D$23/2)-1)/(N255-1))</f>
        <v>14.318021360847144</v>
      </c>
      <c r="P255" s="67">
        <f>G255*EXP(-H255*'Externe blootstelling'!$D$23/2)*O255</f>
        <v>5.7704924925370562E-5</v>
      </c>
      <c r="Q255" s="68"/>
    </row>
    <row r="256" spans="1:17" x14ac:dyDescent="0.2">
      <c r="A256" s="217"/>
      <c r="B256" s="64" t="s">
        <v>104</v>
      </c>
      <c r="C256" s="66">
        <v>0.1295</v>
      </c>
      <c r="D256" s="66">
        <f t="shared" si="18"/>
        <v>2.0719999999999999E-14</v>
      </c>
      <c r="E256" s="66">
        <v>1.4000000000000001E-4</v>
      </c>
      <c r="F256" s="66">
        <f>_xlfn.IFNA(INDEX('hp (pSv cm2)'!$B$2:$B$52,MATCH($C256,'hp (pSv cm2)'!$A$2:$A$52,1))+($C256-INDEX('hp (pSv cm2)'!$A$2:$A$52,MATCH($C256,'hp (pSv cm2)'!$A$2:$A$52,1)))*(INDEX('hp (pSv cm2)'!$B$2:$B$52,MATCH($C256,'hp (pSv cm2)'!$A$2:$A$52,1)+1)-INDEX('hp (pSv cm2)'!$B$2:$B$52,MATCH($C256,'hp (pSv cm2)'!$A$2:$A$52,1)))/(INDEX('hp (pSv cm2)'!$A$2:$A$52,MATCH($C256,'hp (pSv cm2)'!$A$2:$A$52,1)+1)-INDEX('hp (pSv cm2)'!$A$2:$A$52,MATCH($C256,'hp (pSv cm2)'!$A$2:$A$52,1))),$C256*'hp (pSv cm2)'!$B$2/'hp (pSv cm2)'!$A$2)</f>
        <v>0.65311000000000008</v>
      </c>
      <c r="G256" s="67">
        <f t="shared" si="19"/>
        <v>9.1435400000000022E-5</v>
      </c>
      <c r="H256" s="83">
        <f>_xlfn.IFNA(0.997*(INDEX('Mass attenuation coefficients'!$B$2:$B$37,MATCH($C256,'Mass attenuation coefficients'!$A$2:$A$37,1))+($C256-INDEX('Mass attenuation coefficients'!$A$2:$A$37,MATCH($C256,'Mass attenuation coefficients'!$A$2:$A$37,1)))*(INDEX('Mass attenuation coefficients'!$B$2:$B$37,MATCH($C256,'Mass attenuation coefficients'!$A$2:$A$37,1)+1)-INDEX('Mass attenuation coefficients'!$B$2:$B$37,MATCH($C256,'Mass attenuation coefficients'!$A$2:$A$37,1)))/(INDEX('Mass attenuation coefficients'!$A$2:$A$37,MATCH($C256,'Mass attenuation coefficients'!$A$2:$A$37,1)+1)-INDEX('Mass attenuation coefficients'!$A$2:$A$37,MATCH($C256,'Mass attenuation coefficients'!$A$2:$A$37,1)))),0.997*$C256*'Mass attenuation coefficients'!$B$2/'Mass attenuation coefficients'!$A$2)</f>
        <v>0.15830565399999999</v>
      </c>
      <c r="I256" s="83">
        <f>_xlfn.IFNA(INDEX('Shultis Faw'!$C$2:$C$26,MATCH($C256,'Shultis Faw'!$A$2:$A$26,1))+($C256-INDEX('Shultis Faw'!$A$2:$A$26,MATCH($C256,'Shultis Faw'!$A$2:$A$26,1)))*(INDEX('Shultis Faw'!$C$2:$C$26,MATCH($C256,'Shultis Faw'!$A$2:$A$26,1)+1)-INDEX('Shultis Faw'!$C$2:$C$26,MATCH($C256,'Shultis Faw'!$A$2:$A$26,1)))/(INDEX('Shultis Faw'!$A$2:$A$26,MATCH($C256,'Shultis Faw'!$A$2:$A$26,1)+1)-INDEX('Shultis Faw'!$A$2:$A$26,MATCH($C256,'Shultis Faw'!$A$2:$A$26,1))),$C256*'Shultis Faw'!$C$2/'Shultis Faw'!$A$2)</f>
        <v>4.2110599999999998</v>
      </c>
      <c r="J256" s="83">
        <f>_xlfn.IFNA(INDEX('Shultis Faw'!$D$2:$D$26,MATCH($C256,'Shultis Faw'!$A$2:$A$26,1))+($C256-INDEX('Shultis Faw'!$A$2:$A$26,MATCH($C256,'Shultis Faw'!$A$2:$A$26,1)))*(INDEX('Shultis Faw'!$D$2:$D$26,MATCH($C256,'Shultis Faw'!$A$2:$A$26,1)+1)-INDEX('Shultis Faw'!$D$2:$D$26,MATCH($C256,'Shultis Faw'!$A$2:$A$26,1)))/(INDEX('Shultis Faw'!$A$2:$A$26,MATCH($C256,'Shultis Faw'!$A$2:$A$26,1)+1)-INDEX('Shultis Faw'!$A$2:$A$26,MATCH($C256,'Shultis Faw'!$A$2:$A$26,1))),$C256*'Shultis Faw'!$D$2/'Shultis Faw'!$A$2)</f>
        <v>2.23339</v>
      </c>
      <c r="K256" s="83">
        <f>_xlfn.IFNA(INDEX('Shultis Faw'!$B$2:$B$26,MATCH($C256,'Shultis Faw'!$A$2:$A$26,1))+($C256-INDEX('Shultis Faw'!$A$2:$A$26,MATCH($C256,'Shultis Faw'!$A$2:$A$26,1)))*(INDEX('Shultis Faw'!$B$2:$B$26,MATCH($C256,'Shultis Faw'!$A$2:$A$26,1)+1)-INDEX('Shultis Faw'!$B$2:$B$26,MATCH($C256,'Shultis Faw'!$A$2:$A$26,1)))/(INDEX('Shultis Faw'!$A$2:$A$26,MATCH($C256,'Shultis Faw'!$A$2:$A$26,1)+1)-INDEX('Shultis Faw'!$A$2:$A$26,MATCH($C256,'Shultis Faw'!$A$2:$A$26,1))),$C256*'Shultis Faw'!$B$2/'Shultis Faw'!$A$2)</f>
        <v>-0.18540999999999999</v>
      </c>
      <c r="L256" s="83">
        <f>_xlfn.IFNA(INDEX('Shultis Faw'!$E$2:$E$26,MATCH($C256,'Shultis Faw'!$A$2:$A$26,1))+($C256-INDEX('Shultis Faw'!$A$2:$A$26,MATCH($C256,'Shultis Faw'!$A$2:$A$26,1)))*(INDEX('Shultis Faw'!$E$2:$E$26,MATCH($C256,'Shultis Faw'!$A$2:$A$26,1)+1)-INDEX('Shultis Faw'!$E$2:$E$26,MATCH($C256,'Shultis Faw'!$A$2:$A$26,1)))/(INDEX('Shultis Faw'!$A$2:$A$26,MATCH($C256,'Shultis Faw'!$A$2:$A$26,1)+1)-INDEX('Shultis Faw'!$A$2:$A$26,MATCH($C256,'Shultis Faw'!$A$2:$A$26,1))),$C256*'Shultis Faw'!$E$2/'Shultis Faw'!$A$2)</f>
        <v>7.9709000000000002E-2</v>
      </c>
      <c r="M256" s="83">
        <f>_xlfn.IFNA(INDEX('Shultis Faw'!$F$2:$F$26,MATCH($C256,'Shultis Faw'!$A$2:$A$26,1))+($C256-INDEX('Shultis Faw'!$A$2:$A$26,MATCH($C256,'Shultis Faw'!$A$2:$A$26,1)))*(INDEX('Shultis Faw'!$F$2:$F$26,MATCH($C256,'Shultis Faw'!$A$2:$A$26,1)+1)-INDEX('Shultis Faw'!$F$2:$F$26,MATCH($C256,'Shultis Faw'!$A$2:$A$26,1)))/(INDEX('Shultis Faw'!$A$2:$A$26,MATCH($C256,'Shultis Faw'!$A$2:$A$26,1)+1)-INDEX('Shultis Faw'!$A$2:$A$26,MATCH($C256,'Shultis Faw'!$A$2:$A$26,1))),$C256*'Shultis Faw'!$F$2/'Shultis Faw'!$A$2)</f>
        <v>13.837400000000001</v>
      </c>
      <c r="N256" s="83">
        <f>J256*(H256*'Externe blootstelling'!$D$23/2)^K256+L256*(TANH(((H256*'Externe blootstelling'!$D$23)/(2*M256))-2)-TANH(-2))/(1-TANH(-2))</f>
        <v>1.9030923373491169</v>
      </c>
      <c r="O256" s="83">
        <f>IF(N256=1,1+(I256-1)*H256*'Externe blootstelling'!$D$23/2,1+(I256-1)*(N256^(H256*'Externe blootstelling'!$D$23/2)-1)/(N256-1))</f>
        <v>13.832049739603569</v>
      </c>
      <c r="P256" s="67">
        <f>G256*EXP(-H256*'Externe blootstelling'!$D$23/2)*O256</f>
        <v>1.1768790483947985E-4</v>
      </c>
      <c r="Q256" s="68"/>
    </row>
    <row r="257" spans="1:17" x14ac:dyDescent="0.2">
      <c r="A257" s="217"/>
      <c r="B257" s="64" t="s">
        <v>104</v>
      </c>
      <c r="C257" s="66">
        <v>0.13158</v>
      </c>
      <c r="D257" s="66">
        <f t="shared" si="18"/>
        <v>2.10528E-14</v>
      </c>
      <c r="E257" s="66">
        <v>1.11E-4</v>
      </c>
      <c r="F257" s="66">
        <f>_xlfn.IFNA(INDEX('hp (pSv cm2)'!$B$2:$B$52,MATCH($C257,'hp (pSv cm2)'!$A$2:$A$52,1))+($C257-INDEX('hp (pSv cm2)'!$A$2:$A$52,MATCH($C257,'hp (pSv cm2)'!$A$2:$A$52,1)))*(INDEX('hp (pSv cm2)'!$B$2:$B$52,MATCH($C257,'hp (pSv cm2)'!$A$2:$A$52,1)+1)-INDEX('hp (pSv cm2)'!$B$2:$B$52,MATCH($C257,'hp (pSv cm2)'!$A$2:$A$52,1)))/(INDEX('hp (pSv cm2)'!$A$2:$A$52,MATCH($C257,'hp (pSv cm2)'!$A$2:$A$52,1)+1)-INDEX('hp (pSv cm2)'!$A$2:$A$52,MATCH($C257,'hp (pSv cm2)'!$A$2:$A$52,1))),$C257*'hp (pSv cm2)'!$B$2/'hp (pSv cm2)'!$A$2)</f>
        <v>0.66263640000000001</v>
      </c>
      <c r="G257" s="67">
        <f t="shared" si="19"/>
        <v>7.35526404E-5</v>
      </c>
      <c r="H257" s="83">
        <f>_xlfn.IFNA(0.997*(INDEX('Mass attenuation coefficients'!$B$2:$B$37,MATCH($C257,'Mass attenuation coefficients'!$A$2:$A$37,1))+($C257-INDEX('Mass attenuation coefficients'!$A$2:$A$37,MATCH($C257,'Mass attenuation coefficients'!$A$2:$A$37,1)))*(INDEX('Mass attenuation coefficients'!$B$2:$B$37,MATCH($C257,'Mass attenuation coefficients'!$A$2:$A$37,1)+1)-INDEX('Mass attenuation coefficients'!$B$2:$B$37,MATCH($C257,'Mass attenuation coefficients'!$A$2:$A$37,1)))/(INDEX('Mass attenuation coefficients'!$A$2:$A$37,MATCH($C257,'Mass attenuation coefficients'!$A$2:$A$37,1)+1)-INDEX('Mass attenuation coefficients'!$A$2:$A$37,MATCH($C257,'Mass attenuation coefficients'!$A$2:$A$37,1)))),0.997*$C257*'Mass attenuation coefficients'!$B$2/'Mass attenuation coefficients'!$A$2)</f>
        <v>0.15746785496000001</v>
      </c>
      <c r="I257" s="83">
        <f>_xlfn.IFNA(INDEX('Shultis Faw'!$C$2:$C$26,MATCH($C257,'Shultis Faw'!$A$2:$A$26,1))+($C257-INDEX('Shultis Faw'!$A$2:$A$26,MATCH($C257,'Shultis Faw'!$A$2:$A$26,1)))*(INDEX('Shultis Faw'!$C$2:$C$26,MATCH($C257,'Shultis Faw'!$A$2:$A$26,1)+1)-INDEX('Shultis Faw'!$C$2:$C$26,MATCH($C257,'Shultis Faw'!$A$2:$A$26,1)))/(INDEX('Shultis Faw'!$A$2:$A$26,MATCH($C257,'Shultis Faw'!$A$2:$A$26,1)+1)-INDEX('Shultis Faw'!$A$2:$A$26,MATCH($C257,'Shultis Faw'!$A$2:$A$26,1))),$C257*'Shultis Faw'!$C$2/'Shultis Faw'!$A$2)</f>
        <v>4.1791944000000001</v>
      </c>
      <c r="J257" s="83">
        <f>_xlfn.IFNA(INDEX('Shultis Faw'!$D$2:$D$26,MATCH($C257,'Shultis Faw'!$A$2:$A$26,1))+($C257-INDEX('Shultis Faw'!$A$2:$A$26,MATCH($C257,'Shultis Faw'!$A$2:$A$26,1)))*(INDEX('Shultis Faw'!$D$2:$D$26,MATCH($C257,'Shultis Faw'!$A$2:$A$26,1)+1)-INDEX('Shultis Faw'!$D$2:$D$26,MATCH($C257,'Shultis Faw'!$A$2:$A$26,1)))/(INDEX('Shultis Faw'!$A$2:$A$26,MATCH($C257,'Shultis Faw'!$A$2:$A$26,1)+1)-INDEX('Shultis Faw'!$A$2:$A$26,MATCH($C257,'Shultis Faw'!$A$2:$A$26,1))),$C257*'Shultis Faw'!$D$2/'Shultis Faw'!$A$2)</f>
        <v>2.2342636000000002</v>
      </c>
      <c r="K257" s="83">
        <f>_xlfn.IFNA(INDEX('Shultis Faw'!$B$2:$B$26,MATCH($C257,'Shultis Faw'!$A$2:$A$26,1))+($C257-INDEX('Shultis Faw'!$A$2:$A$26,MATCH($C257,'Shultis Faw'!$A$2:$A$26,1)))*(INDEX('Shultis Faw'!$B$2:$B$26,MATCH($C257,'Shultis Faw'!$A$2:$A$26,1)+1)-INDEX('Shultis Faw'!$B$2:$B$26,MATCH($C257,'Shultis Faw'!$A$2:$A$26,1)))/(INDEX('Shultis Faw'!$A$2:$A$26,MATCH($C257,'Shultis Faw'!$A$2:$A$26,1)+1)-INDEX('Shultis Faw'!$A$2:$A$26,MATCH($C257,'Shultis Faw'!$A$2:$A$26,1))),$C257*'Shultis Faw'!$B$2/'Shultis Faw'!$A$2)</f>
        <v>-0.18536839999999999</v>
      </c>
      <c r="L257" s="83">
        <f>_xlfn.IFNA(INDEX('Shultis Faw'!$E$2:$E$26,MATCH($C257,'Shultis Faw'!$A$2:$A$26,1))+($C257-INDEX('Shultis Faw'!$A$2:$A$26,MATCH($C257,'Shultis Faw'!$A$2:$A$26,1)))*(INDEX('Shultis Faw'!$E$2:$E$26,MATCH($C257,'Shultis Faw'!$A$2:$A$26,1)+1)-INDEX('Shultis Faw'!$E$2:$E$26,MATCH($C257,'Shultis Faw'!$A$2:$A$26,1)))/(INDEX('Shultis Faw'!$A$2:$A$26,MATCH($C257,'Shultis Faw'!$A$2:$A$26,1)+1)-INDEX('Shultis Faw'!$A$2:$A$26,MATCH($C257,'Shultis Faw'!$A$2:$A$26,1))),$C257*'Shultis Faw'!$E$2/'Shultis Faw'!$A$2)</f>
        <v>7.9505160000000005E-2</v>
      </c>
      <c r="M257" s="83">
        <f>_xlfn.IFNA(INDEX('Shultis Faw'!$F$2:$F$26,MATCH($C257,'Shultis Faw'!$A$2:$A$26,1))+($C257-INDEX('Shultis Faw'!$A$2:$A$26,MATCH($C257,'Shultis Faw'!$A$2:$A$26,1)))*(INDEX('Shultis Faw'!$F$2:$F$26,MATCH($C257,'Shultis Faw'!$A$2:$A$26,1)+1)-INDEX('Shultis Faw'!$F$2:$F$26,MATCH($C257,'Shultis Faw'!$A$2:$A$26,1)))/(INDEX('Shultis Faw'!$A$2:$A$26,MATCH($C257,'Shultis Faw'!$A$2:$A$26,1)+1)-INDEX('Shultis Faw'!$A$2:$A$26,MATCH($C257,'Shultis Faw'!$A$2:$A$26,1))),$C257*'Shultis Faw'!$F$2/'Shultis Faw'!$A$2)</f>
        <v>13.873175999999999</v>
      </c>
      <c r="N257" s="83">
        <f>J257*(H257*'Externe blootstelling'!$D$23/2)^K257+L257*(TANH(((H257*'Externe blootstelling'!$D$23)/(2*M257))-2)-TANH(-2))/(1-TANH(-2))</f>
        <v>1.9057712283816839</v>
      </c>
      <c r="O257" s="83">
        <f>IF(N257=1,1+(I257-1)*H257*'Externe blootstelling'!$D$23/2,1+(I257-1)*(N257^(H257*'Externe blootstelling'!$D$23/2)-1)/(N257-1))</f>
        <v>13.590248145287676</v>
      </c>
      <c r="P257" s="67">
        <f>G257*EXP(-H257*'Externe blootstelling'!$D$23/2)*O257</f>
        <v>9.4192071256723567E-5</v>
      </c>
      <c r="Q257" s="68"/>
    </row>
    <row r="258" spans="1:17" x14ac:dyDescent="0.2">
      <c r="A258" s="217"/>
      <c r="B258" s="64" t="s">
        <v>104</v>
      </c>
      <c r="C258" s="66">
        <v>0.13484000000000002</v>
      </c>
      <c r="D258" s="66">
        <f t="shared" si="18"/>
        <v>2.1574400000000003E-14</v>
      </c>
      <c r="E258" s="66">
        <v>7.2000000000000002E-5</v>
      </c>
      <c r="F258" s="66">
        <f>_xlfn.IFNA(INDEX('hp (pSv cm2)'!$B$2:$B$52,MATCH($C258,'hp (pSv cm2)'!$A$2:$A$52,1))+($C258-INDEX('hp (pSv cm2)'!$A$2:$A$52,MATCH($C258,'hp (pSv cm2)'!$A$2:$A$52,1)))*(INDEX('hp (pSv cm2)'!$B$2:$B$52,MATCH($C258,'hp (pSv cm2)'!$A$2:$A$52,1)+1)-INDEX('hp (pSv cm2)'!$B$2:$B$52,MATCH($C258,'hp (pSv cm2)'!$A$2:$A$52,1)))/(INDEX('hp (pSv cm2)'!$A$2:$A$52,MATCH($C258,'hp (pSv cm2)'!$A$2:$A$52,1)+1)-INDEX('hp (pSv cm2)'!$A$2:$A$52,MATCH($C258,'hp (pSv cm2)'!$A$2:$A$52,1))),$C258*'hp (pSv cm2)'!$B$2/'hp (pSv cm2)'!$A$2)</f>
        <v>0.67756720000000015</v>
      </c>
      <c r="G258" s="67">
        <f t="shared" si="19"/>
        <v>4.8784838400000011E-5</v>
      </c>
      <c r="H258" s="83">
        <f>_xlfn.IFNA(0.997*(INDEX('Mass attenuation coefficients'!$B$2:$B$37,MATCH($C258,'Mass attenuation coefficients'!$A$2:$A$37,1))+($C258-INDEX('Mass attenuation coefficients'!$A$2:$A$37,MATCH($C258,'Mass attenuation coefficients'!$A$2:$A$37,1)))*(INDEX('Mass attenuation coefficients'!$B$2:$B$37,MATCH($C258,'Mass attenuation coefficients'!$A$2:$A$37,1)+1)-INDEX('Mass attenuation coefficients'!$B$2:$B$37,MATCH($C258,'Mass attenuation coefficients'!$A$2:$A$37,1)))/(INDEX('Mass attenuation coefficients'!$A$2:$A$37,MATCH($C258,'Mass attenuation coefficients'!$A$2:$A$37,1)+1)-INDEX('Mass attenuation coefficients'!$A$2:$A$37,MATCH($C258,'Mass attenuation coefficients'!$A$2:$A$37,1)))),0.997*$C258*'Mass attenuation coefficients'!$B$2/'Mass attenuation coefficients'!$A$2)</f>
        <v>0.15615476607999998</v>
      </c>
      <c r="I258" s="83">
        <f>_xlfn.IFNA(INDEX('Shultis Faw'!$C$2:$C$26,MATCH($C258,'Shultis Faw'!$A$2:$A$26,1))+($C258-INDEX('Shultis Faw'!$A$2:$A$26,MATCH($C258,'Shultis Faw'!$A$2:$A$26,1)))*(INDEX('Shultis Faw'!$C$2:$C$26,MATCH($C258,'Shultis Faw'!$A$2:$A$26,1)+1)-INDEX('Shultis Faw'!$C$2:$C$26,MATCH($C258,'Shultis Faw'!$A$2:$A$26,1)))/(INDEX('Shultis Faw'!$A$2:$A$26,MATCH($C258,'Shultis Faw'!$A$2:$A$26,1)+1)-INDEX('Shultis Faw'!$A$2:$A$26,MATCH($C258,'Shultis Faw'!$A$2:$A$26,1))),$C258*'Shultis Faw'!$C$2/'Shultis Faw'!$A$2)</f>
        <v>4.1292511999999997</v>
      </c>
      <c r="J258" s="83">
        <f>_xlfn.IFNA(INDEX('Shultis Faw'!$D$2:$D$26,MATCH($C258,'Shultis Faw'!$A$2:$A$26,1))+($C258-INDEX('Shultis Faw'!$A$2:$A$26,MATCH($C258,'Shultis Faw'!$A$2:$A$26,1)))*(INDEX('Shultis Faw'!$D$2:$D$26,MATCH($C258,'Shultis Faw'!$A$2:$A$26,1)+1)-INDEX('Shultis Faw'!$D$2:$D$26,MATCH($C258,'Shultis Faw'!$A$2:$A$26,1)))/(INDEX('Shultis Faw'!$A$2:$A$26,MATCH($C258,'Shultis Faw'!$A$2:$A$26,1)+1)-INDEX('Shultis Faw'!$A$2:$A$26,MATCH($C258,'Shultis Faw'!$A$2:$A$26,1))),$C258*'Shultis Faw'!$D$2/'Shultis Faw'!$A$2)</f>
        <v>2.2356327999999999</v>
      </c>
      <c r="K258" s="83">
        <f>_xlfn.IFNA(INDEX('Shultis Faw'!$B$2:$B$26,MATCH($C258,'Shultis Faw'!$A$2:$A$26,1))+($C258-INDEX('Shultis Faw'!$A$2:$A$26,MATCH($C258,'Shultis Faw'!$A$2:$A$26,1)))*(INDEX('Shultis Faw'!$B$2:$B$26,MATCH($C258,'Shultis Faw'!$A$2:$A$26,1)+1)-INDEX('Shultis Faw'!$B$2:$B$26,MATCH($C258,'Shultis Faw'!$A$2:$A$26,1)))/(INDEX('Shultis Faw'!$A$2:$A$26,MATCH($C258,'Shultis Faw'!$A$2:$A$26,1)+1)-INDEX('Shultis Faw'!$A$2:$A$26,MATCH($C258,'Shultis Faw'!$A$2:$A$26,1))),$C258*'Shultis Faw'!$B$2/'Shultis Faw'!$A$2)</f>
        <v>-0.1853032</v>
      </c>
      <c r="L258" s="83">
        <f>_xlfn.IFNA(INDEX('Shultis Faw'!$E$2:$E$26,MATCH($C258,'Shultis Faw'!$A$2:$A$26,1))+($C258-INDEX('Shultis Faw'!$A$2:$A$26,MATCH($C258,'Shultis Faw'!$A$2:$A$26,1)))*(INDEX('Shultis Faw'!$E$2:$E$26,MATCH($C258,'Shultis Faw'!$A$2:$A$26,1)+1)-INDEX('Shultis Faw'!$E$2:$E$26,MATCH($C258,'Shultis Faw'!$A$2:$A$26,1)))/(INDEX('Shultis Faw'!$A$2:$A$26,MATCH($C258,'Shultis Faw'!$A$2:$A$26,1)+1)-INDEX('Shultis Faw'!$A$2:$A$26,MATCH($C258,'Shultis Faw'!$A$2:$A$26,1))),$C258*'Shultis Faw'!$E$2/'Shultis Faw'!$A$2)</f>
        <v>7.9185680000000008E-2</v>
      </c>
      <c r="M258" s="83">
        <f>_xlfn.IFNA(INDEX('Shultis Faw'!$F$2:$F$26,MATCH($C258,'Shultis Faw'!$A$2:$A$26,1))+($C258-INDEX('Shultis Faw'!$A$2:$A$26,MATCH($C258,'Shultis Faw'!$A$2:$A$26,1)))*(INDEX('Shultis Faw'!$F$2:$F$26,MATCH($C258,'Shultis Faw'!$A$2:$A$26,1)+1)-INDEX('Shultis Faw'!$F$2:$F$26,MATCH($C258,'Shultis Faw'!$A$2:$A$26,1)))/(INDEX('Shultis Faw'!$A$2:$A$26,MATCH($C258,'Shultis Faw'!$A$2:$A$26,1)+1)-INDEX('Shultis Faw'!$A$2:$A$26,MATCH($C258,'Shultis Faw'!$A$2:$A$26,1))),$C258*'Shultis Faw'!$F$2/'Shultis Faw'!$A$2)</f>
        <v>13.929247999999999</v>
      </c>
      <c r="N258" s="83">
        <f>J258*(H258*'Externe blootstelling'!$D$23/2)^K258+L258*(TANH(((H258*'Externe blootstelling'!$D$23)/(2*M258))-2)-TANH(-2))/(1-TANH(-2))</f>
        <v>1.9099955503683479</v>
      </c>
      <c r="O258" s="83">
        <f>IF(N258=1,1+(I258-1)*H258*'Externe blootstelling'!$D$23/2,1+(I258-1)*(N258^(H258*'Externe blootstelling'!$D$23/2)-1)/(N258-1))</f>
        <v>13.216830034205122</v>
      </c>
      <c r="P258" s="67">
        <f>G258*EXP(-H258*'Externe blootstelling'!$D$23/2)*O258</f>
        <v>6.1966201847743078E-5</v>
      </c>
      <c r="Q258" s="68"/>
    </row>
    <row r="259" spans="1:17" x14ac:dyDescent="0.2">
      <c r="A259" s="217"/>
      <c r="B259" s="64" t="s">
        <v>104</v>
      </c>
      <c r="C259" s="66">
        <v>0.14605000000000001</v>
      </c>
      <c r="D259" s="66">
        <f t="shared" si="18"/>
        <v>2.3367999999999999E-14</v>
      </c>
      <c r="E259" s="66">
        <v>2.5999999999999998E-4</v>
      </c>
      <c r="F259" s="66">
        <f>_xlfn.IFNA(INDEX('hp (pSv cm2)'!$B$2:$B$52,MATCH($C259,'hp (pSv cm2)'!$A$2:$A$52,1))+($C259-INDEX('hp (pSv cm2)'!$A$2:$A$52,MATCH($C259,'hp (pSv cm2)'!$A$2:$A$52,1)))*(INDEX('hp (pSv cm2)'!$B$2:$B$52,MATCH($C259,'hp (pSv cm2)'!$A$2:$A$52,1)+1)-INDEX('hp (pSv cm2)'!$B$2:$B$52,MATCH($C259,'hp (pSv cm2)'!$A$2:$A$52,1)))/(INDEX('hp (pSv cm2)'!$A$2:$A$52,MATCH($C259,'hp (pSv cm2)'!$A$2:$A$52,1)+1)-INDEX('hp (pSv cm2)'!$A$2:$A$52,MATCH($C259,'hp (pSv cm2)'!$A$2:$A$52,1))),$C259*'hp (pSv cm2)'!$B$2/'hp (pSv cm2)'!$A$2)</f>
        <v>0.72890900000000003</v>
      </c>
      <c r="G259" s="67">
        <f t="shared" si="19"/>
        <v>1.8951634E-4</v>
      </c>
      <c r="H259" s="83">
        <f>_xlfn.IFNA(0.997*(INDEX('Mass attenuation coefficients'!$B$2:$B$37,MATCH($C259,'Mass attenuation coefficients'!$A$2:$A$37,1))+($C259-INDEX('Mass attenuation coefficients'!$A$2:$A$37,MATCH($C259,'Mass attenuation coefficients'!$A$2:$A$37,1)))*(INDEX('Mass attenuation coefficients'!$B$2:$B$37,MATCH($C259,'Mass attenuation coefficients'!$A$2:$A$37,1)+1)-INDEX('Mass attenuation coefficients'!$B$2:$B$37,MATCH($C259,'Mass attenuation coefficients'!$A$2:$A$37,1)))/(INDEX('Mass attenuation coefficients'!$A$2:$A$37,MATCH($C259,'Mass attenuation coefficients'!$A$2:$A$37,1)+1)-INDEX('Mass attenuation coefficients'!$A$2:$A$37,MATCH($C259,'Mass attenuation coefficients'!$A$2:$A$37,1)))),0.997*$C259*'Mass attenuation coefficients'!$B$2/'Mass attenuation coefficients'!$A$2)</f>
        <v>0.15163951259999997</v>
      </c>
      <c r="I259" s="83">
        <f>_xlfn.IFNA(INDEX('Shultis Faw'!$C$2:$C$26,MATCH($C259,'Shultis Faw'!$A$2:$A$26,1))+($C259-INDEX('Shultis Faw'!$A$2:$A$26,MATCH($C259,'Shultis Faw'!$A$2:$A$26,1)))*(INDEX('Shultis Faw'!$C$2:$C$26,MATCH($C259,'Shultis Faw'!$A$2:$A$26,1)+1)-INDEX('Shultis Faw'!$C$2:$C$26,MATCH($C259,'Shultis Faw'!$A$2:$A$26,1)))/(INDEX('Shultis Faw'!$A$2:$A$26,MATCH($C259,'Shultis Faw'!$A$2:$A$26,1)+1)-INDEX('Shultis Faw'!$A$2:$A$26,MATCH($C259,'Shultis Faw'!$A$2:$A$26,1))),$C259*'Shultis Faw'!$C$2/'Shultis Faw'!$A$2)</f>
        <v>3.9575139999999998</v>
      </c>
      <c r="J259" s="83">
        <f>_xlfn.IFNA(INDEX('Shultis Faw'!$D$2:$D$26,MATCH($C259,'Shultis Faw'!$A$2:$A$26,1))+($C259-INDEX('Shultis Faw'!$A$2:$A$26,MATCH($C259,'Shultis Faw'!$A$2:$A$26,1)))*(INDEX('Shultis Faw'!$D$2:$D$26,MATCH($C259,'Shultis Faw'!$A$2:$A$26,1)+1)-INDEX('Shultis Faw'!$D$2:$D$26,MATCH($C259,'Shultis Faw'!$A$2:$A$26,1)))/(INDEX('Shultis Faw'!$A$2:$A$26,MATCH($C259,'Shultis Faw'!$A$2:$A$26,1)+1)-INDEX('Shultis Faw'!$A$2:$A$26,MATCH($C259,'Shultis Faw'!$A$2:$A$26,1))),$C259*'Shultis Faw'!$D$2/'Shultis Faw'!$A$2)</f>
        <v>2.2403409999999999</v>
      </c>
      <c r="K259" s="83">
        <f>_xlfn.IFNA(INDEX('Shultis Faw'!$B$2:$B$26,MATCH($C259,'Shultis Faw'!$A$2:$A$26,1))+($C259-INDEX('Shultis Faw'!$A$2:$A$26,MATCH($C259,'Shultis Faw'!$A$2:$A$26,1)))*(INDEX('Shultis Faw'!$B$2:$B$26,MATCH($C259,'Shultis Faw'!$A$2:$A$26,1)+1)-INDEX('Shultis Faw'!$B$2:$B$26,MATCH($C259,'Shultis Faw'!$A$2:$A$26,1)))/(INDEX('Shultis Faw'!$A$2:$A$26,MATCH($C259,'Shultis Faw'!$A$2:$A$26,1)+1)-INDEX('Shultis Faw'!$A$2:$A$26,MATCH($C259,'Shultis Faw'!$A$2:$A$26,1))),$C259*'Shultis Faw'!$B$2/'Shultis Faw'!$A$2)</f>
        <v>-0.18507899999999999</v>
      </c>
      <c r="L259" s="83">
        <f>_xlfn.IFNA(INDEX('Shultis Faw'!$E$2:$E$26,MATCH($C259,'Shultis Faw'!$A$2:$A$26,1))+($C259-INDEX('Shultis Faw'!$A$2:$A$26,MATCH($C259,'Shultis Faw'!$A$2:$A$26,1)))*(INDEX('Shultis Faw'!$E$2:$E$26,MATCH($C259,'Shultis Faw'!$A$2:$A$26,1)+1)-INDEX('Shultis Faw'!$E$2:$E$26,MATCH($C259,'Shultis Faw'!$A$2:$A$26,1)))/(INDEX('Shultis Faw'!$A$2:$A$26,MATCH($C259,'Shultis Faw'!$A$2:$A$26,1)+1)-INDEX('Shultis Faw'!$A$2:$A$26,MATCH($C259,'Shultis Faw'!$A$2:$A$26,1))),$C259*'Shultis Faw'!$E$2/'Shultis Faw'!$A$2)</f>
        <v>7.8087100000000007E-2</v>
      </c>
      <c r="M259" s="83">
        <f>_xlfn.IFNA(INDEX('Shultis Faw'!$F$2:$F$26,MATCH($C259,'Shultis Faw'!$A$2:$A$26,1))+($C259-INDEX('Shultis Faw'!$A$2:$A$26,MATCH($C259,'Shultis Faw'!$A$2:$A$26,1)))*(INDEX('Shultis Faw'!$F$2:$F$26,MATCH($C259,'Shultis Faw'!$A$2:$A$26,1)+1)-INDEX('Shultis Faw'!$F$2:$F$26,MATCH($C259,'Shultis Faw'!$A$2:$A$26,1)))/(INDEX('Shultis Faw'!$A$2:$A$26,MATCH($C259,'Shultis Faw'!$A$2:$A$26,1)+1)-INDEX('Shultis Faw'!$A$2:$A$26,MATCH($C259,'Shultis Faw'!$A$2:$A$26,1))),$C259*'Shultis Faw'!$F$2/'Shultis Faw'!$A$2)</f>
        <v>14.122059999999999</v>
      </c>
      <c r="N259" s="83">
        <f>J259*(H259*'Externe blootstelling'!$D$23/2)^K259+L259*(TANH(((H259*'Externe blootstelling'!$D$23)/(2*M259))-2)-TANH(-2))/(1-TANH(-2))</f>
        <v>1.924768052111135</v>
      </c>
      <c r="O259" s="83">
        <f>IF(N259=1,1+(I259-1)*H259*'Externe blootstelling'!$D$23/2,1+(I259-1)*(N259^(H259*'Externe blootstelling'!$D$23/2)-1)/(N259-1))</f>
        <v>11.983936021665675</v>
      </c>
      <c r="P259" s="67">
        <f>G259*EXP(-H259*'Externe blootstelling'!$D$23/2)*O259</f>
        <v>2.3356248588977488E-4</v>
      </c>
      <c r="Q259" s="68"/>
    </row>
    <row r="260" spans="1:17" x14ac:dyDescent="0.2">
      <c r="A260" s="217"/>
      <c r="B260" s="64" t="s">
        <v>104</v>
      </c>
      <c r="C260" s="66">
        <v>0.15619999999999998</v>
      </c>
      <c r="D260" s="66">
        <f t="shared" si="18"/>
        <v>2.4991999999999993E-14</v>
      </c>
      <c r="E260" s="66">
        <v>9.7999999999999997E-5</v>
      </c>
      <c r="F260" s="66">
        <f>_xlfn.IFNA(INDEX('hp (pSv cm2)'!$B$2:$B$52,MATCH($C260,'hp (pSv cm2)'!$A$2:$A$52,1))+($C260-INDEX('hp (pSv cm2)'!$A$2:$A$52,MATCH($C260,'hp (pSv cm2)'!$A$2:$A$52,1)))*(INDEX('hp (pSv cm2)'!$B$2:$B$52,MATCH($C260,'hp (pSv cm2)'!$A$2:$A$52,1)+1)-INDEX('hp (pSv cm2)'!$B$2:$B$52,MATCH($C260,'hp (pSv cm2)'!$A$2:$A$52,1)))/(INDEX('hp (pSv cm2)'!$A$2:$A$52,MATCH($C260,'hp (pSv cm2)'!$A$2:$A$52,1)+1)-INDEX('hp (pSv cm2)'!$A$2:$A$52,MATCH($C260,'hp (pSv cm2)'!$A$2:$A$52,1))),$C260*'hp (pSv cm2)'!$B$2/'hp (pSv cm2)'!$A$2)</f>
        <v>0.77837199999999995</v>
      </c>
      <c r="G260" s="67">
        <f t="shared" si="19"/>
        <v>7.6280455999999989E-5</v>
      </c>
      <c r="H260" s="83">
        <f>_xlfn.IFNA(0.997*(INDEX('Mass attenuation coefficients'!$B$2:$B$37,MATCH($C260,'Mass attenuation coefficients'!$A$2:$A$37,1))+($C260-INDEX('Mass attenuation coefficients'!$A$2:$A$37,MATCH($C260,'Mass attenuation coefficients'!$A$2:$A$37,1)))*(INDEX('Mass attenuation coefficients'!$B$2:$B$37,MATCH($C260,'Mass attenuation coefficients'!$A$2:$A$37,1)+1)-INDEX('Mass attenuation coefficients'!$B$2:$B$37,MATCH($C260,'Mass attenuation coefficients'!$A$2:$A$37,1)))/(INDEX('Mass attenuation coefficients'!$A$2:$A$37,MATCH($C260,'Mass attenuation coefficients'!$A$2:$A$37,1)+1)-INDEX('Mass attenuation coefficients'!$A$2:$A$37,MATCH($C260,'Mass attenuation coefficients'!$A$2:$A$37,1)))),0.997*$C260*'Mass attenuation coefficients'!$B$2/'Mass attenuation coefficients'!$A$2)</f>
        <v>0.14837952200000001</v>
      </c>
      <c r="I260" s="83">
        <f>_xlfn.IFNA(INDEX('Shultis Faw'!$C$2:$C$26,MATCH($C260,'Shultis Faw'!$A$2:$A$26,1))+($C260-INDEX('Shultis Faw'!$A$2:$A$26,MATCH($C260,'Shultis Faw'!$A$2:$A$26,1)))*(INDEX('Shultis Faw'!$C$2:$C$26,MATCH($C260,'Shultis Faw'!$A$2:$A$26,1)+1)-INDEX('Shultis Faw'!$C$2:$C$26,MATCH($C260,'Shultis Faw'!$A$2:$A$26,1)))/(INDEX('Shultis Faw'!$A$2:$A$26,MATCH($C260,'Shultis Faw'!$A$2:$A$26,1)+1)-INDEX('Shultis Faw'!$A$2:$A$26,MATCH($C260,'Shultis Faw'!$A$2:$A$26,1))),$C260*'Shultis Faw'!$C$2/'Shultis Faw'!$A$2)</f>
        <v>3.8450440000000001</v>
      </c>
      <c r="J260" s="83">
        <f>_xlfn.IFNA(INDEX('Shultis Faw'!$D$2:$D$26,MATCH($C260,'Shultis Faw'!$A$2:$A$26,1))+($C260-INDEX('Shultis Faw'!$A$2:$A$26,MATCH($C260,'Shultis Faw'!$A$2:$A$26,1)))*(INDEX('Shultis Faw'!$D$2:$D$26,MATCH($C260,'Shultis Faw'!$A$2:$A$26,1)+1)-INDEX('Shultis Faw'!$D$2:$D$26,MATCH($C260,'Shultis Faw'!$A$2:$A$26,1)))/(INDEX('Shultis Faw'!$A$2:$A$26,MATCH($C260,'Shultis Faw'!$A$2:$A$26,1)+1)-INDEX('Shultis Faw'!$A$2:$A$26,MATCH($C260,'Shultis Faw'!$A$2:$A$26,1))),$C260*'Shultis Faw'!$D$2/'Shultis Faw'!$A$2)</f>
        <v>2.2310880000000002</v>
      </c>
      <c r="K260" s="83">
        <f>_xlfn.IFNA(INDEX('Shultis Faw'!$B$2:$B$26,MATCH($C260,'Shultis Faw'!$A$2:$A$26,1))+($C260-INDEX('Shultis Faw'!$A$2:$A$26,MATCH($C260,'Shultis Faw'!$A$2:$A$26,1)))*(INDEX('Shultis Faw'!$B$2:$B$26,MATCH($C260,'Shultis Faw'!$A$2:$A$26,1)+1)-INDEX('Shultis Faw'!$B$2:$B$26,MATCH($C260,'Shultis Faw'!$A$2:$A$26,1)))/(INDEX('Shultis Faw'!$A$2:$A$26,MATCH($C260,'Shultis Faw'!$A$2:$A$26,1)+1)-INDEX('Shultis Faw'!$A$2:$A$26,MATCH($C260,'Shultis Faw'!$A$2:$A$26,1))),$C260*'Shultis Faw'!$B$2/'Shultis Faw'!$A$2)</f>
        <v>-0.18388399999999999</v>
      </c>
      <c r="L260" s="83">
        <f>_xlfn.IFNA(INDEX('Shultis Faw'!$E$2:$E$26,MATCH($C260,'Shultis Faw'!$A$2:$A$26,1))+($C260-INDEX('Shultis Faw'!$A$2:$A$26,MATCH($C260,'Shultis Faw'!$A$2:$A$26,1)))*(INDEX('Shultis Faw'!$E$2:$E$26,MATCH($C260,'Shultis Faw'!$A$2:$A$26,1)+1)-INDEX('Shultis Faw'!$E$2:$E$26,MATCH($C260,'Shultis Faw'!$A$2:$A$26,1)))/(INDEX('Shultis Faw'!$A$2:$A$26,MATCH($C260,'Shultis Faw'!$A$2:$A$26,1)+1)-INDEX('Shultis Faw'!$A$2:$A$26,MATCH($C260,'Shultis Faw'!$A$2:$A$26,1))),$C260*'Shultis Faw'!$E$2/'Shultis Faw'!$A$2)</f>
        <v>7.7662800000000004E-2</v>
      </c>
      <c r="M260" s="83">
        <f>_xlfn.IFNA(INDEX('Shultis Faw'!$F$2:$F$26,MATCH($C260,'Shultis Faw'!$A$2:$A$26,1))+($C260-INDEX('Shultis Faw'!$A$2:$A$26,MATCH($C260,'Shultis Faw'!$A$2:$A$26,1)))*(INDEX('Shultis Faw'!$F$2:$F$26,MATCH($C260,'Shultis Faw'!$A$2:$A$26,1)+1)-INDEX('Shultis Faw'!$F$2:$F$26,MATCH($C260,'Shultis Faw'!$A$2:$A$26,1)))/(INDEX('Shultis Faw'!$A$2:$A$26,MATCH($C260,'Shultis Faw'!$A$2:$A$26,1)+1)-INDEX('Shultis Faw'!$A$2:$A$26,MATCH($C260,'Shultis Faw'!$A$2:$A$26,1))),$C260*'Shultis Faw'!$F$2/'Shultis Faw'!$A$2)</f>
        <v>14.228439999999999</v>
      </c>
      <c r="N260" s="83">
        <f>J260*(H260*'Externe blootstelling'!$D$23/2)^K260+L260*(TANH(((H260*'Externe blootstelling'!$D$23)/(2*M260))-2)-TANH(-2))/(1-TANH(-2))</f>
        <v>1.9263639222441145</v>
      </c>
      <c r="O260" s="83">
        <f>IF(N260=1,1+(I260-1)*H260*'Externe blootstelling'!$D$23/2,1+(I260-1)*(N260^(H260*'Externe blootstelling'!$D$23/2)-1)/(N260-1))</f>
        <v>11.143204614207477</v>
      </c>
      <c r="P260" s="67">
        <f>G260*EXP(-H260*'Externe blootstelling'!$D$23/2)*O260</f>
        <v>9.1794629080328935E-5</v>
      </c>
      <c r="Q260" s="68"/>
    </row>
    <row r="261" spans="1:17" x14ac:dyDescent="0.2">
      <c r="A261" s="217"/>
      <c r="B261" s="64" t="s">
        <v>104</v>
      </c>
      <c r="C261" s="66">
        <v>0.15990000000000001</v>
      </c>
      <c r="D261" s="66">
        <f t="shared" si="18"/>
        <v>2.5583999999999999E-14</v>
      </c>
      <c r="E261" s="66">
        <v>1.0000000000000001E-5</v>
      </c>
      <c r="F261" s="66">
        <f>_xlfn.IFNA(INDEX('hp (pSv cm2)'!$B$2:$B$52,MATCH($C261,'hp (pSv cm2)'!$A$2:$A$52,1))+($C261-INDEX('hp (pSv cm2)'!$A$2:$A$52,MATCH($C261,'hp (pSv cm2)'!$A$2:$A$52,1)))*(INDEX('hp (pSv cm2)'!$B$2:$B$52,MATCH($C261,'hp (pSv cm2)'!$A$2:$A$52,1)+1)-INDEX('hp (pSv cm2)'!$B$2:$B$52,MATCH($C261,'hp (pSv cm2)'!$A$2:$A$52,1)))/(INDEX('hp (pSv cm2)'!$A$2:$A$52,MATCH($C261,'hp (pSv cm2)'!$A$2:$A$52,1)+1)-INDEX('hp (pSv cm2)'!$A$2:$A$52,MATCH($C261,'hp (pSv cm2)'!$A$2:$A$52,1))),$C261*'hp (pSv cm2)'!$B$2/'hp (pSv cm2)'!$A$2)</f>
        <v>0.79709400000000008</v>
      </c>
      <c r="G261" s="67">
        <f t="shared" si="19"/>
        <v>7.9709400000000013E-6</v>
      </c>
      <c r="H261" s="83">
        <f>_xlfn.IFNA(0.997*(INDEX('Mass attenuation coefficients'!$B$2:$B$37,MATCH($C261,'Mass attenuation coefficients'!$A$2:$A$37,1))+($C261-INDEX('Mass attenuation coefficients'!$A$2:$A$37,MATCH($C261,'Mass attenuation coefficients'!$A$2:$A$37,1)))*(INDEX('Mass attenuation coefficients'!$B$2:$B$37,MATCH($C261,'Mass attenuation coefficients'!$A$2:$A$37,1)+1)-INDEX('Mass attenuation coefficients'!$B$2:$B$37,MATCH($C261,'Mass attenuation coefficients'!$A$2:$A$37,1)))/(INDEX('Mass attenuation coefficients'!$A$2:$A$37,MATCH($C261,'Mass attenuation coefficients'!$A$2:$A$37,1)+1)-INDEX('Mass attenuation coefficients'!$A$2:$A$37,MATCH($C261,'Mass attenuation coefficients'!$A$2:$A$37,1)))),0.997*$C261*'Mass attenuation coefficients'!$B$2/'Mass attenuation coefficients'!$A$2)</f>
        <v>0.14738351899999999</v>
      </c>
      <c r="I261" s="83">
        <f>_xlfn.IFNA(INDEX('Shultis Faw'!$C$2:$C$26,MATCH($C261,'Shultis Faw'!$A$2:$A$26,1))+($C261-INDEX('Shultis Faw'!$A$2:$A$26,MATCH($C261,'Shultis Faw'!$A$2:$A$26,1)))*(INDEX('Shultis Faw'!$C$2:$C$26,MATCH($C261,'Shultis Faw'!$A$2:$A$26,1)+1)-INDEX('Shultis Faw'!$C$2:$C$26,MATCH($C261,'Shultis Faw'!$A$2:$A$26,1)))/(INDEX('Shultis Faw'!$A$2:$A$26,MATCH($C261,'Shultis Faw'!$A$2:$A$26,1)+1)-INDEX('Shultis Faw'!$A$2:$A$26,MATCH($C261,'Shultis Faw'!$A$2:$A$26,1))),$C261*'Shultis Faw'!$C$2/'Shultis Faw'!$A$2)</f>
        <v>3.8140379999999996</v>
      </c>
      <c r="J261" s="83">
        <f>_xlfn.IFNA(INDEX('Shultis Faw'!$D$2:$D$26,MATCH($C261,'Shultis Faw'!$A$2:$A$26,1))+($C261-INDEX('Shultis Faw'!$A$2:$A$26,MATCH($C261,'Shultis Faw'!$A$2:$A$26,1)))*(INDEX('Shultis Faw'!$D$2:$D$26,MATCH($C261,'Shultis Faw'!$A$2:$A$26,1)+1)-INDEX('Shultis Faw'!$D$2:$D$26,MATCH($C261,'Shultis Faw'!$A$2:$A$26,1)))/(INDEX('Shultis Faw'!$A$2:$A$26,MATCH($C261,'Shultis Faw'!$A$2:$A$26,1)+1)-INDEX('Shultis Faw'!$A$2:$A$26,MATCH($C261,'Shultis Faw'!$A$2:$A$26,1))),$C261*'Shultis Faw'!$D$2/'Shultis Faw'!$A$2)</f>
        <v>2.2245759999999999</v>
      </c>
      <c r="K261" s="83">
        <f>_xlfn.IFNA(INDEX('Shultis Faw'!$B$2:$B$26,MATCH($C261,'Shultis Faw'!$A$2:$A$26,1))+($C261-INDEX('Shultis Faw'!$A$2:$A$26,MATCH($C261,'Shultis Faw'!$A$2:$A$26,1)))*(INDEX('Shultis Faw'!$B$2:$B$26,MATCH($C261,'Shultis Faw'!$A$2:$A$26,1)+1)-INDEX('Shultis Faw'!$B$2:$B$26,MATCH($C261,'Shultis Faw'!$A$2:$A$26,1)))/(INDEX('Shultis Faw'!$A$2:$A$26,MATCH($C261,'Shultis Faw'!$A$2:$A$26,1)+1)-INDEX('Shultis Faw'!$A$2:$A$26,MATCH($C261,'Shultis Faw'!$A$2:$A$26,1))),$C261*'Shultis Faw'!$B$2/'Shultis Faw'!$A$2)</f>
        <v>-0.18321799999999999</v>
      </c>
      <c r="L261" s="83">
        <f>_xlfn.IFNA(INDEX('Shultis Faw'!$E$2:$E$26,MATCH($C261,'Shultis Faw'!$A$2:$A$26,1))+($C261-INDEX('Shultis Faw'!$A$2:$A$26,MATCH($C261,'Shultis Faw'!$A$2:$A$26,1)))*(INDEX('Shultis Faw'!$E$2:$E$26,MATCH($C261,'Shultis Faw'!$A$2:$A$26,1)+1)-INDEX('Shultis Faw'!$E$2:$E$26,MATCH($C261,'Shultis Faw'!$A$2:$A$26,1)))/(INDEX('Shultis Faw'!$A$2:$A$26,MATCH($C261,'Shultis Faw'!$A$2:$A$26,1)+1)-INDEX('Shultis Faw'!$A$2:$A$26,MATCH($C261,'Shultis Faw'!$A$2:$A$26,1))),$C261*'Shultis Faw'!$E$2/'Shultis Faw'!$A$2)</f>
        <v>7.7640600000000004E-2</v>
      </c>
      <c r="M261" s="83">
        <f>_xlfn.IFNA(INDEX('Shultis Faw'!$F$2:$F$26,MATCH($C261,'Shultis Faw'!$A$2:$A$26,1))+($C261-INDEX('Shultis Faw'!$A$2:$A$26,MATCH($C261,'Shultis Faw'!$A$2:$A$26,1)))*(INDEX('Shultis Faw'!$F$2:$F$26,MATCH($C261,'Shultis Faw'!$A$2:$A$26,1)+1)-INDEX('Shultis Faw'!$F$2:$F$26,MATCH($C261,'Shultis Faw'!$A$2:$A$26,1)))/(INDEX('Shultis Faw'!$A$2:$A$26,MATCH($C261,'Shultis Faw'!$A$2:$A$26,1)+1)-INDEX('Shultis Faw'!$A$2:$A$26,MATCH($C261,'Shultis Faw'!$A$2:$A$26,1))),$C261*'Shultis Faw'!$F$2/'Shultis Faw'!$A$2)</f>
        <v>14.251379999999999</v>
      </c>
      <c r="N261" s="83">
        <f>J261*(H261*'Externe blootstelling'!$D$23/2)^K261+L261*(TANH(((H261*'Externe blootstelling'!$D$23)/(2*M261))-2)-TANH(-2))/(1-TANH(-2))</f>
        <v>1.9241335470024927</v>
      </c>
      <c r="O261" s="83">
        <f>IF(N261=1,1+(I261-1)*H261*'Externe blootstelling'!$D$23/2,1+(I261-1)*(N261^(H261*'Externe blootstelling'!$D$23/2)-1)/(N261-1))</f>
        <v>10.895979302365721</v>
      </c>
      <c r="P261" s="67">
        <f>G261*EXP(-H261*'Externe blootstelling'!$D$23/2)*O261</f>
        <v>9.5204631037667557E-6</v>
      </c>
      <c r="Q261" s="68"/>
    </row>
    <row r="262" spans="1:17" x14ac:dyDescent="0.2">
      <c r="A262" s="217"/>
      <c r="B262" s="64" t="s">
        <v>104</v>
      </c>
      <c r="C262" s="66">
        <v>0.16209000000000001</v>
      </c>
      <c r="D262" s="66">
        <f t="shared" si="18"/>
        <v>2.59344E-14</v>
      </c>
      <c r="E262" s="66">
        <v>1.1000000000000001E-5</v>
      </c>
      <c r="F262" s="66">
        <f>_xlfn.IFNA(INDEX('hp (pSv cm2)'!$B$2:$B$52,MATCH($C262,'hp (pSv cm2)'!$A$2:$A$52,1))+($C262-INDEX('hp (pSv cm2)'!$A$2:$A$52,MATCH($C262,'hp (pSv cm2)'!$A$2:$A$52,1)))*(INDEX('hp (pSv cm2)'!$B$2:$B$52,MATCH($C262,'hp (pSv cm2)'!$A$2:$A$52,1)+1)-INDEX('hp (pSv cm2)'!$B$2:$B$52,MATCH($C262,'hp (pSv cm2)'!$A$2:$A$52,1)))/(INDEX('hp (pSv cm2)'!$A$2:$A$52,MATCH($C262,'hp (pSv cm2)'!$A$2:$A$52,1)+1)-INDEX('hp (pSv cm2)'!$A$2:$A$52,MATCH($C262,'hp (pSv cm2)'!$A$2:$A$52,1))),$C262*'hp (pSv cm2)'!$B$2/'hp (pSv cm2)'!$A$2)</f>
        <v>0.8081754000000001</v>
      </c>
      <c r="G262" s="67">
        <f t="shared" si="19"/>
        <v>8.8899294000000018E-6</v>
      </c>
      <c r="H262" s="83">
        <f>_xlfn.IFNA(0.997*(INDEX('Mass attenuation coefficients'!$B$2:$B$37,MATCH($C262,'Mass attenuation coefficients'!$A$2:$A$37,1))+($C262-INDEX('Mass attenuation coefficients'!$A$2:$A$37,MATCH($C262,'Mass attenuation coefficients'!$A$2:$A$37,1)))*(INDEX('Mass attenuation coefficients'!$B$2:$B$37,MATCH($C262,'Mass attenuation coefficients'!$A$2:$A$37,1)+1)-INDEX('Mass attenuation coefficients'!$B$2:$B$37,MATCH($C262,'Mass attenuation coefficients'!$A$2:$A$37,1)))/(INDEX('Mass attenuation coefficients'!$A$2:$A$37,MATCH($C262,'Mass attenuation coefficients'!$A$2:$A$37,1)+1)-INDEX('Mass attenuation coefficients'!$A$2:$A$37,MATCH($C262,'Mass attenuation coefficients'!$A$2:$A$37,1)))),0.997*$C262*'Mass attenuation coefficients'!$B$2/'Mass attenuation coefficients'!$A$2)</f>
        <v>0.1467939929</v>
      </c>
      <c r="I262" s="83">
        <f>_xlfn.IFNA(INDEX('Shultis Faw'!$C$2:$C$26,MATCH($C262,'Shultis Faw'!$A$2:$A$26,1))+($C262-INDEX('Shultis Faw'!$A$2:$A$26,MATCH($C262,'Shultis Faw'!$A$2:$A$26,1)))*(INDEX('Shultis Faw'!$C$2:$C$26,MATCH($C262,'Shultis Faw'!$A$2:$A$26,1)+1)-INDEX('Shultis Faw'!$C$2:$C$26,MATCH($C262,'Shultis Faw'!$A$2:$A$26,1)))/(INDEX('Shultis Faw'!$A$2:$A$26,MATCH($C262,'Shultis Faw'!$A$2:$A$26,1)+1)-INDEX('Shultis Faw'!$A$2:$A$26,MATCH($C262,'Shultis Faw'!$A$2:$A$26,1))),$C262*'Shultis Faw'!$C$2/'Shultis Faw'!$A$2)</f>
        <v>3.7956857999999998</v>
      </c>
      <c r="J262" s="83">
        <f>_xlfn.IFNA(INDEX('Shultis Faw'!$D$2:$D$26,MATCH($C262,'Shultis Faw'!$A$2:$A$26,1))+($C262-INDEX('Shultis Faw'!$A$2:$A$26,MATCH($C262,'Shultis Faw'!$A$2:$A$26,1)))*(INDEX('Shultis Faw'!$D$2:$D$26,MATCH($C262,'Shultis Faw'!$A$2:$A$26,1)+1)-INDEX('Shultis Faw'!$D$2:$D$26,MATCH($C262,'Shultis Faw'!$A$2:$A$26,1)))/(INDEX('Shultis Faw'!$A$2:$A$26,MATCH($C262,'Shultis Faw'!$A$2:$A$26,1)+1)-INDEX('Shultis Faw'!$A$2:$A$26,MATCH($C262,'Shultis Faw'!$A$2:$A$26,1))),$C262*'Shultis Faw'!$D$2/'Shultis Faw'!$A$2)</f>
        <v>2.2207216000000001</v>
      </c>
      <c r="K262" s="83">
        <f>_xlfn.IFNA(INDEX('Shultis Faw'!$B$2:$B$26,MATCH($C262,'Shultis Faw'!$A$2:$A$26,1))+($C262-INDEX('Shultis Faw'!$A$2:$A$26,MATCH($C262,'Shultis Faw'!$A$2:$A$26,1)))*(INDEX('Shultis Faw'!$B$2:$B$26,MATCH($C262,'Shultis Faw'!$A$2:$A$26,1)+1)-INDEX('Shultis Faw'!$B$2:$B$26,MATCH($C262,'Shultis Faw'!$A$2:$A$26,1)))/(INDEX('Shultis Faw'!$A$2:$A$26,MATCH($C262,'Shultis Faw'!$A$2:$A$26,1)+1)-INDEX('Shultis Faw'!$A$2:$A$26,MATCH($C262,'Shultis Faw'!$A$2:$A$26,1))),$C262*'Shultis Faw'!$B$2/'Shultis Faw'!$A$2)</f>
        <v>-0.18282379999999998</v>
      </c>
      <c r="L262" s="83">
        <f>_xlfn.IFNA(INDEX('Shultis Faw'!$E$2:$E$26,MATCH($C262,'Shultis Faw'!$A$2:$A$26,1))+($C262-INDEX('Shultis Faw'!$A$2:$A$26,MATCH($C262,'Shultis Faw'!$A$2:$A$26,1)))*(INDEX('Shultis Faw'!$E$2:$E$26,MATCH($C262,'Shultis Faw'!$A$2:$A$26,1)+1)-INDEX('Shultis Faw'!$E$2:$E$26,MATCH($C262,'Shultis Faw'!$A$2:$A$26,1)))/(INDEX('Shultis Faw'!$A$2:$A$26,MATCH($C262,'Shultis Faw'!$A$2:$A$26,1)+1)-INDEX('Shultis Faw'!$A$2:$A$26,MATCH($C262,'Shultis Faw'!$A$2:$A$26,1))),$C262*'Shultis Faw'!$E$2/'Shultis Faw'!$A$2)</f>
        <v>7.7627460000000009E-2</v>
      </c>
      <c r="M262" s="83">
        <f>_xlfn.IFNA(INDEX('Shultis Faw'!$F$2:$F$26,MATCH($C262,'Shultis Faw'!$A$2:$A$26,1))+($C262-INDEX('Shultis Faw'!$A$2:$A$26,MATCH($C262,'Shultis Faw'!$A$2:$A$26,1)))*(INDEX('Shultis Faw'!$F$2:$F$26,MATCH($C262,'Shultis Faw'!$A$2:$A$26,1)+1)-INDEX('Shultis Faw'!$F$2:$F$26,MATCH($C262,'Shultis Faw'!$A$2:$A$26,1)))/(INDEX('Shultis Faw'!$A$2:$A$26,MATCH($C262,'Shultis Faw'!$A$2:$A$26,1)+1)-INDEX('Shultis Faw'!$A$2:$A$26,MATCH($C262,'Shultis Faw'!$A$2:$A$26,1))),$C262*'Shultis Faw'!$F$2/'Shultis Faw'!$A$2)</f>
        <v>14.264958</v>
      </c>
      <c r="N262" s="83">
        <f>J262*(H262*'Externe blootstelling'!$D$23/2)^K262+L262*(TANH(((H262*'Externe blootstelling'!$D$23)/(2*M262))-2)-TANH(-2))/(1-TANH(-2))</f>
        <v>1.9228063008522531</v>
      </c>
      <c r="O262" s="83">
        <f>IF(N262=1,1+(I262-1)*H262*'Externe blootstelling'!$D$23/2,1+(I262-1)*(N262^(H262*'Externe blootstelling'!$D$23/2)-1)/(N262-1))</f>
        <v>10.751847784555743</v>
      </c>
      <c r="P262" s="67">
        <f>G262*EXP(-H262*'Externe blootstelling'!$D$23/2)*O262</f>
        <v>1.0570708650750167E-5</v>
      </c>
      <c r="Q262" s="68"/>
    </row>
    <row r="263" spans="1:17" x14ac:dyDescent="0.2">
      <c r="A263" s="217"/>
      <c r="B263" s="64" t="s">
        <v>104</v>
      </c>
      <c r="C263" s="66">
        <v>0.16589999999999999</v>
      </c>
      <c r="D263" s="66">
        <f t="shared" si="18"/>
        <v>2.6543999999999999E-14</v>
      </c>
      <c r="E263" s="66">
        <v>2.5000000000000001E-5</v>
      </c>
      <c r="F263" s="66">
        <f>_xlfn.IFNA(INDEX('hp (pSv cm2)'!$B$2:$B$52,MATCH($C263,'hp (pSv cm2)'!$A$2:$A$52,1))+($C263-INDEX('hp (pSv cm2)'!$A$2:$A$52,MATCH($C263,'hp (pSv cm2)'!$A$2:$A$52,1)))*(INDEX('hp (pSv cm2)'!$B$2:$B$52,MATCH($C263,'hp (pSv cm2)'!$A$2:$A$52,1)+1)-INDEX('hp (pSv cm2)'!$B$2:$B$52,MATCH($C263,'hp (pSv cm2)'!$A$2:$A$52,1)))/(INDEX('hp (pSv cm2)'!$A$2:$A$52,MATCH($C263,'hp (pSv cm2)'!$A$2:$A$52,1)+1)-INDEX('hp (pSv cm2)'!$A$2:$A$52,MATCH($C263,'hp (pSv cm2)'!$A$2:$A$52,1))),$C263*'hp (pSv cm2)'!$B$2/'hp (pSv cm2)'!$A$2)</f>
        <v>0.82745399999999991</v>
      </c>
      <c r="G263" s="67">
        <f t="shared" si="19"/>
        <v>2.0686349999999999E-5</v>
      </c>
      <c r="H263" s="83">
        <f>_xlfn.IFNA(0.997*(INDEX('Mass attenuation coefficients'!$B$2:$B$37,MATCH($C263,'Mass attenuation coefficients'!$A$2:$A$37,1))+($C263-INDEX('Mass attenuation coefficients'!$A$2:$A$37,MATCH($C263,'Mass attenuation coefficients'!$A$2:$A$37,1)))*(INDEX('Mass attenuation coefficients'!$B$2:$B$37,MATCH($C263,'Mass attenuation coefficients'!$A$2:$A$37,1)+1)-INDEX('Mass attenuation coefficients'!$B$2:$B$37,MATCH($C263,'Mass attenuation coefficients'!$A$2:$A$37,1)))/(INDEX('Mass attenuation coefficients'!$A$2:$A$37,MATCH($C263,'Mass attenuation coefficients'!$A$2:$A$37,1)+1)-INDEX('Mass attenuation coefficients'!$A$2:$A$37,MATCH($C263,'Mass attenuation coefficients'!$A$2:$A$37,1)))),0.997*$C263*'Mass attenuation coefficients'!$B$2/'Mass attenuation coefficients'!$A$2)</f>
        <v>0.145768379</v>
      </c>
      <c r="I263" s="83">
        <f>_xlfn.IFNA(INDEX('Shultis Faw'!$C$2:$C$26,MATCH($C263,'Shultis Faw'!$A$2:$A$26,1))+($C263-INDEX('Shultis Faw'!$A$2:$A$26,MATCH($C263,'Shultis Faw'!$A$2:$A$26,1)))*(INDEX('Shultis Faw'!$C$2:$C$26,MATCH($C263,'Shultis Faw'!$A$2:$A$26,1)+1)-INDEX('Shultis Faw'!$C$2:$C$26,MATCH($C263,'Shultis Faw'!$A$2:$A$26,1)))/(INDEX('Shultis Faw'!$A$2:$A$26,MATCH($C263,'Shultis Faw'!$A$2:$A$26,1)+1)-INDEX('Shultis Faw'!$A$2:$A$26,MATCH($C263,'Shultis Faw'!$A$2:$A$26,1))),$C263*'Shultis Faw'!$C$2/'Shultis Faw'!$A$2)</f>
        <v>3.7637580000000002</v>
      </c>
      <c r="J263" s="83">
        <f>_xlfn.IFNA(INDEX('Shultis Faw'!$D$2:$D$26,MATCH($C263,'Shultis Faw'!$A$2:$A$26,1))+($C263-INDEX('Shultis Faw'!$A$2:$A$26,MATCH($C263,'Shultis Faw'!$A$2:$A$26,1)))*(INDEX('Shultis Faw'!$D$2:$D$26,MATCH($C263,'Shultis Faw'!$A$2:$A$26,1)+1)-INDEX('Shultis Faw'!$D$2:$D$26,MATCH($C263,'Shultis Faw'!$A$2:$A$26,1)))/(INDEX('Shultis Faw'!$A$2:$A$26,MATCH($C263,'Shultis Faw'!$A$2:$A$26,1)+1)-INDEX('Shultis Faw'!$A$2:$A$26,MATCH($C263,'Shultis Faw'!$A$2:$A$26,1))),$C263*'Shultis Faw'!$D$2/'Shultis Faw'!$A$2)</f>
        <v>2.214016</v>
      </c>
      <c r="K263" s="83">
        <f>_xlfn.IFNA(INDEX('Shultis Faw'!$B$2:$B$26,MATCH($C263,'Shultis Faw'!$A$2:$A$26,1))+($C263-INDEX('Shultis Faw'!$A$2:$A$26,MATCH($C263,'Shultis Faw'!$A$2:$A$26,1)))*(INDEX('Shultis Faw'!$B$2:$B$26,MATCH($C263,'Shultis Faw'!$A$2:$A$26,1)+1)-INDEX('Shultis Faw'!$B$2:$B$26,MATCH($C263,'Shultis Faw'!$A$2:$A$26,1)))/(INDEX('Shultis Faw'!$A$2:$A$26,MATCH($C263,'Shultis Faw'!$A$2:$A$26,1)+1)-INDEX('Shultis Faw'!$A$2:$A$26,MATCH($C263,'Shultis Faw'!$A$2:$A$26,1))),$C263*'Shultis Faw'!$B$2/'Shultis Faw'!$A$2)</f>
        <v>-0.18213799999999999</v>
      </c>
      <c r="L263" s="83">
        <f>_xlfn.IFNA(INDEX('Shultis Faw'!$E$2:$E$26,MATCH($C263,'Shultis Faw'!$A$2:$A$26,1))+($C263-INDEX('Shultis Faw'!$A$2:$A$26,MATCH($C263,'Shultis Faw'!$A$2:$A$26,1)))*(INDEX('Shultis Faw'!$E$2:$E$26,MATCH($C263,'Shultis Faw'!$A$2:$A$26,1)+1)-INDEX('Shultis Faw'!$E$2:$E$26,MATCH($C263,'Shultis Faw'!$A$2:$A$26,1)))/(INDEX('Shultis Faw'!$A$2:$A$26,MATCH($C263,'Shultis Faw'!$A$2:$A$26,1)+1)-INDEX('Shultis Faw'!$A$2:$A$26,MATCH($C263,'Shultis Faw'!$A$2:$A$26,1))),$C263*'Shultis Faw'!$E$2/'Shultis Faw'!$A$2)</f>
        <v>7.7604599999999996E-2</v>
      </c>
      <c r="M263" s="83">
        <f>_xlfn.IFNA(INDEX('Shultis Faw'!$F$2:$F$26,MATCH($C263,'Shultis Faw'!$A$2:$A$26,1))+($C263-INDEX('Shultis Faw'!$A$2:$A$26,MATCH($C263,'Shultis Faw'!$A$2:$A$26,1)))*(INDEX('Shultis Faw'!$F$2:$F$26,MATCH($C263,'Shultis Faw'!$A$2:$A$26,1)+1)-INDEX('Shultis Faw'!$F$2:$F$26,MATCH($C263,'Shultis Faw'!$A$2:$A$26,1)))/(INDEX('Shultis Faw'!$A$2:$A$26,MATCH($C263,'Shultis Faw'!$A$2:$A$26,1)+1)-INDEX('Shultis Faw'!$A$2:$A$26,MATCH($C263,'Shultis Faw'!$A$2:$A$26,1))),$C263*'Shultis Faw'!$F$2/'Shultis Faw'!$A$2)</f>
        <v>14.28858</v>
      </c>
      <c r="N263" s="83">
        <f>J263*(H263*'Externe blootstelling'!$D$23/2)^K263+L263*(TANH(((H263*'Externe blootstelling'!$D$23)/(2*M263))-2)-TANH(-2))/(1-TANH(-2))</f>
        <v>1.9204846674322533</v>
      </c>
      <c r="O263" s="83">
        <f>IF(N263=1,1+(I263-1)*H263*'Externe blootstelling'!$D$23/2,1+(I263-1)*(N263^(H263*'Externe blootstelling'!$D$23/2)-1)/(N263-1))</f>
        <v>10.504940314618281</v>
      </c>
      <c r="P263" s="67">
        <f>G263*EXP(-H263*'Externe blootstelling'!$D$23/2)*O263</f>
        <v>2.4405146449803742E-5</v>
      </c>
      <c r="Q263" s="68"/>
    </row>
    <row r="264" spans="1:17" x14ac:dyDescent="0.2">
      <c r="A264" s="217"/>
      <c r="B264" s="64" t="s">
        <v>104</v>
      </c>
      <c r="C264" s="66">
        <v>0.1807</v>
      </c>
      <c r="D264" s="66">
        <f t="shared" si="18"/>
        <v>2.8912E-14</v>
      </c>
      <c r="E264" s="66">
        <v>4.0000000000000003E-5</v>
      </c>
      <c r="F264" s="66">
        <f>_xlfn.IFNA(INDEX('hp (pSv cm2)'!$B$2:$B$52,MATCH($C264,'hp (pSv cm2)'!$A$2:$A$52,1))+($C264-INDEX('hp (pSv cm2)'!$A$2:$A$52,MATCH($C264,'hp (pSv cm2)'!$A$2:$A$52,1)))*(INDEX('hp (pSv cm2)'!$B$2:$B$52,MATCH($C264,'hp (pSv cm2)'!$A$2:$A$52,1)+1)-INDEX('hp (pSv cm2)'!$B$2:$B$52,MATCH($C264,'hp (pSv cm2)'!$A$2:$A$52,1)))/(INDEX('hp (pSv cm2)'!$A$2:$A$52,MATCH($C264,'hp (pSv cm2)'!$A$2:$A$52,1)+1)-INDEX('hp (pSv cm2)'!$A$2:$A$52,MATCH($C264,'hp (pSv cm2)'!$A$2:$A$52,1))),$C264*'hp (pSv cm2)'!$B$2/'hp (pSv cm2)'!$A$2)</f>
        <v>0.90234199999999998</v>
      </c>
      <c r="G264" s="67">
        <f t="shared" si="19"/>
        <v>3.6093680000000002E-5</v>
      </c>
      <c r="H264" s="83">
        <f>_xlfn.IFNA(0.997*(INDEX('Mass attenuation coefficients'!$B$2:$B$37,MATCH($C264,'Mass attenuation coefficients'!$A$2:$A$37,1))+($C264-INDEX('Mass attenuation coefficients'!$A$2:$A$37,MATCH($C264,'Mass attenuation coefficients'!$A$2:$A$37,1)))*(INDEX('Mass attenuation coefficients'!$B$2:$B$37,MATCH($C264,'Mass attenuation coefficients'!$A$2:$A$37,1)+1)-INDEX('Mass attenuation coefficients'!$B$2:$B$37,MATCH($C264,'Mass attenuation coefficients'!$A$2:$A$37,1)))/(INDEX('Mass attenuation coefficients'!$A$2:$A$37,MATCH($C264,'Mass attenuation coefficients'!$A$2:$A$37,1)+1)-INDEX('Mass attenuation coefficients'!$A$2:$A$37,MATCH($C264,'Mass attenuation coefficients'!$A$2:$A$37,1)))),0.997*$C264*'Mass attenuation coefficients'!$B$2/'Mass attenuation coefficients'!$A$2)</f>
        <v>0.14178436699999999</v>
      </c>
      <c r="I264" s="83">
        <f>_xlfn.IFNA(INDEX('Shultis Faw'!$C$2:$C$26,MATCH($C264,'Shultis Faw'!$A$2:$A$26,1))+($C264-INDEX('Shultis Faw'!$A$2:$A$26,MATCH($C264,'Shultis Faw'!$A$2:$A$26,1)))*(INDEX('Shultis Faw'!$C$2:$C$26,MATCH($C264,'Shultis Faw'!$A$2:$A$26,1)+1)-INDEX('Shultis Faw'!$C$2:$C$26,MATCH($C264,'Shultis Faw'!$A$2:$A$26,1)))/(INDEX('Shultis Faw'!$A$2:$A$26,MATCH($C264,'Shultis Faw'!$A$2:$A$26,1)+1)-INDEX('Shultis Faw'!$A$2:$A$26,MATCH($C264,'Shultis Faw'!$A$2:$A$26,1))),$C264*'Shultis Faw'!$C$2/'Shultis Faw'!$A$2)</f>
        <v>3.6397340000000002</v>
      </c>
      <c r="J264" s="83">
        <f>_xlfn.IFNA(INDEX('Shultis Faw'!$D$2:$D$26,MATCH($C264,'Shultis Faw'!$A$2:$A$26,1))+($C264-INDEX('Shultis Faw'!$A$2:$A$26,MATCH($C264,'Shultis Faw'!$A$2:$A$26,1)))*(INDEX('Shultis Faw'!$D$2:$D$26,MATCH($C264,'Shultis Faw'!$A$2:$A$26,1)+1)-INDEX('Shultis Faw'!$D$2:$D$26,MATCH($C264,'Shultis Faw'!$A$2:$A$26,1)))/(INDEX('Shultis Faw'!$A$2:$A$26,MATCH($C264,'Shultis Faw'!$A$2:$A$26,1)+1)-INDEX('Shultis Faw'!$A$2:$A$26,MATCH($C264,'Shultis Faw'!$A$2:$A$26,1))),$C264*'Shultis Faw'!$D$2/'Shultis Faw'!$A$2)</f>
        <v>2.1879680000000001</v>
      </c>
      <c r="K264" s="83">
        <f>_xlfn.IFNA(INDEX('Shultis Faw'!$B$2:$B$26,MATCH($C264,'Shultis Faw'!$A$2:$A$26,1))+($C264-INDEX('Shultis Faw'!$A$2:$A$26,MATCH($C264,'Shultis Faw'!$A$2:$A$26,1)))*(INDEX('Shultis Faw'!$B$2:$B$26,MATCH($C264,'Shultis Faw'!$A$2:$A$26,1)+1)-INDEX('Shultis Faw'!$B$2:$B$26,MATCH($C264,'Shultis Faw'!$A$2:$A$26,1)))/(INDEX('Shultis Faw'!$A$2:$A$26,MATCH($C264,'Shultis Faw'!$A$2:$A$26,1)+1)-INDEX('Shultis Faw'!$A$2:$A$26,MATCH($C264,'Shultis Faw'!$A$2:$A$26,1))),$C264*'Shultis Faw'!$B$2/'Shultis Faw'!$A$2)</f>
        <v>-0.17947399999999999</v>
      </c>
      <c r="L264" s="83">
        <f>_xlfn.IFNA(INDEX('Shultis Faw'!$E$2:$E$26,MATCH($C264,'Shultis Faw'!$A$2:$A$26,1))+($C264-INDEX('Shultis Faw'!$A$2:$A$26,MATCH($C264,'Shultis Faw'!$A$2:$A$26,1)))*(INDEX('Shultis Faw'!$E$2:$E$26,MATCH($C264,'Shultis Faw'!$A$2:$A$26,1)+1)-INDEX('Shultis Faw'!$E$2:$E$26,MATCH($C264,'Shultis Faw'!$A$2:$A$26,1)))/(INDEX('Shultis Faw'!$A$2:$A$26,MATCH($C264,'Shultis Faw'!$A$2:$A$26,1)+1)-INDEX('Shultis Faw'!$A$2:$A$26,MATCH($C264,'Shultis Faw'!$A$2:$A$26,1))),$C264*'Shultis Faw'!$E$2/'Shultis Faw'!$A$2)</f>
        <v>7.7515799999999996E-2</v>
      </c>
      <c r="M264" s="83">
        <f>_xlfn.IFNA(INDEX('Shultis Faw'!$F$2:$F$26,MATCH($C264,'Shultis Faw'!$A$2:$A$26,1))+($C264-INDEX('Shultis Faw'!$A$2:$A$26,MATCH($C264,'Shultis Faw'!$A$2:$A$26,1)))*(INDEX('Shultis Faw'!$F$2:$F$26,MATCH($C264,'Shultis Faw'!$A$2:$A$26,1)+1)-INDEX('Shultis Faw'!$F$2:$F$26,MATCH($C264,'Shultis Faw'!$A$2:$A$26,1)))/(INDEX('Shultis Faw'!$A$2:$A$26,MATCH($C264,'Shultis Faw'!$A$2:$A$26,1)+1)-INDEX('Shultis Faw'!$A$2:$A$26,MATCH($C264,'Shultis Faw'!$A$2:$A$26,1))),$C264*'Shultis Faw'!$F$2/'Shultis Faw'!$A$2)</f>
        <v>14.38034</v>
      </c>
      <c r="N264" s="83">
        <f>J264*(H264*'Externe blootstelling'!$D$23/2)^K264+L264*(TANH(((H264*'Externe blootstelling'!$D$23)/(2*M264))-2)-TANH(-2))/(1-TANH(-2))</f>
        <v>1.9113146859429542</v>
      </c>
      <c r="O264" s="83">
        <f>IF(N264=1,1+(I264-1)*H264*'Externe blootstelling'!$D$23/2,1+(I264-1)*(N264^(H264*'Externe blootstelling'!$D$23/2)-1)/(N264-1))</f>
        <v>9.5907164215256007</v>
      </c>
      <c r="P264" s="67">
        <f>G264*EXP(-H264*'Externe blootstelling'!$D$23/2)*O264</f>
        <v>4.1270496198834967E-5</v>
      </c>
      <c r="Q264" s="68"/>
    </row>
    <row r="265" spans="1:17" x14ac:dyDescent="0.2">
      <c r="A265" s="217"/>
      <c r="B265" s="64" t="s">
        <v>104</v>
      </c>
      <c r="C265" s="66">
        <v>0.18472</v>
      </c>
      <c r="D265" s="66">
        <f t="shared" si="18"/>
        <v>2.9555199999999996E-14</v>
      </c>
      <c r="E265" s="66">
        <v>3.7000000000000005E-5</v>
      </c>
      <c r="F265" s="66">
        <f>_xlfn.IFNA(INDEX('hp (pSv cm2)'!$B$2:$B$52,MATCH($C265,'hp (pSv cm2)'!$A$2:$A$52,1))+($C265-INDEX('hp (pSv cm2)'!$A$2:$A$52,MATCH($C265,'hp (pSv cm2)'!$A$2:$A$52,1)))*(INDEX('hp (pSv cm2)'!$B$2:$B$52,MATCH($C265,'hp (pSv cm2)'!$A$2:$A$52,1)+1)-INDEX('hp (pSv cm2)'!$B$2:$B$52,MATCH($C265,'hp (pSv cm2)'!$A$2:$A$52,1)))/(INDEX('hp (pSv cm2)'!$A$2:$A$52,MATCH($C265,'hp (pSv cm2)'!$A$2:$A$52,1)+1)-INDEX('hp (pSv cm2)'!$A$2:$A$52,MATCH($C265,'hp (pSv cm2)'!$A$2:$A$52,1))),$C265*'hp (pSv cm2)'!$B$2/'hp (pSv cm2)'!$A$2)</f>
        <v>0.92268319999999993</v>
      </c>
      <c r="G265" s="67">
        <f t="shared" si="19"/>
        <v>3.41392784E-5</v>
      </c>
      <c r="H265" s="83">
        <f>_xlfn.IFNA(0.997*(INDEX('Mass attenuation coefficients'!$B$2:$B$37,MATCH($C265,'Mass attenuation coefficients'!$A$2:$A$37,1))+($C265-INDEX('Mass attenuation coefficients'!$A$2:$A$37,MATCH($C265,'Mass attenuation coefficients'!$A$2:$A$37,1)))*(INDEX('Mass attenuation coefficients'!$B$2:$B$37,MATCH($C265,'Mass attenuation coefficients'!$A$2:$A$37,1)+1)-INDEX('Mass attenuation coefficients'!$B$2:$B$37,MATCH($C265,'Mass attenuation coefficients'!$A$2:$A$37,1)))/(INDEX('Mass attenuation coefficients'!$A$2:$A$37,MATCH($C265,'Mass attenuation coefficients'!$A$2:$A$37,1)+1)-INDEX('Mass attenuation coefficients'!$A$2:$A$37,MATCH($C265,'Mass attenuation coefficients'!$A$2:$A$37,1)))),0.997*$C265*'Mass attenuation coefficients'!$B$2/'Mass attenuation coefficients'!$A$2)</f>
        <v>0.1407022232</v>
      </c>
      <c r="I265" s="83">
        <f>_xlfn.IFNA(INDEX('Shultis Faw'!$C$2:$C$26,MATCH($C265,'Shultis Faw'!$A$2:$A$26,1))+($C265-INDEX('Shultis Faw'!$A$2:$A$26,MATCH($C265,'Shultis Faw'!$A$2:$A$26,1)))*(INDEX('Shultis Faw'!$C$2:$C$26,MATCH($C265,'Shultis Faw'!$A$2:$A$26,1)+1)-INDEX('Shultis Faw'!$C$2:$C$26,MATCH($C265,'Shultis Faw'!$A$2:$A$26,1)))/(INDEX('Shultis Faw'!$A$2:$A$26,MATCH($C265,'Shultis Faw'!$A$2:$A$26,1)+1)-INDEX('Shultis Faw'!$A$2:$A$26,MATCH($C265,'Shultis Faw'!$A$2:$A$26,1))),$C265*'Shultis Faw'!$C$2/'Shultis Faw'!$A$2)</f>
        <v>3.6060464000000003</v>
      </c>
      <c r="J265" s="83">
        <f>_xlfn.IFNA(INDEX('Shultis Faw'!$D$2:$D$26,MATCH($C265,'Shultis Faw'!$A$2:$A$26,1))+($C265-INDEX('Shultis Faw'!$A$2:$A$26,MATCH($C265,'Shultis Faw'!$A$2:$A$26,1)))*(INDEX('Shultis Faw'!$D$2:$D$26,MATCH($C265,'Shultis Faw'!$A$2:$A$26,1)+1)-INDEX('Shultis Faw'!$D$2:$D$26,MATCH($C265,'Shultis Faw'!$A$2:$A$26,1)))/(INDEX('Shultis Faw'!$A$2:$A$26,MATCH($C265,'Shultis Faw'!$A$2:$A$26,1)+1)-INDEX('Shultis Faw'!$A$2:$A$26,MATCH($C265,'Shultis Faw'!$A$2:$A$26,1))),$C265*'Shultis Faw'!$D$2/'Shultis Faw'!$A$2)</f>
        <v>2.1808928000000001</v>
      </c>
      <c r="K265" s="83">
        <f>_xlfn.IFNA(INDEX('Shultis Faw'!$B$2:$B$26,MATCH($C265,'Shultis Faw'!$A$2:$A$26,1))+($C265-INDEX('Shultis Faw'!$A$2:$A$26,MATCH($C265,'Shultis Faw'!$A$2:$A$26,1)))*(INDEX('Shultis Faw'!$B$2:$B$26,MATCH($C265,'Shultis Faw'!$A$2:$A$26,1)+1)-INDEX('Shultis Faw'!$B$2:$B$26,MATCH($C265,'Shultis Faw'!$A$2:$A$26,1)))/(INDEX('Shultis Faw'!$A$2:$A$26,MATCH($C265,'Shultis Faw'!$A$2:$A$26,1)+1)-INDEX('Shultis Faw'!$A$2:$A$26,MATCH($C265,'Shultis Faw'!$A$2:$A$26,1))),$C265*'Shultis Faw'!$B$2/'Shultis Faw'!$A$2)</f>
        <v>-0.1787504</v>
      </c>
      <c r="L265" s="83">
        <f>_xlfn.IFNA(INDEX('Shultis Faw'!$E$2:$E$26,MATCH($C265,'Shultis Faw'!$A$2:$A$26,1))+($C265-INDEX('Shultis Faw'!$A$2:$A$26,MATCH($C265,'Shultis Faw'!$A$2:$A$26,1)))*(INDEX('Shultis Faw'!$E$2:$E$26,MATCH($C265,'Shultis Faw'!$A$2:$A$26,1)+1)-INDEX('Shultis Faw'!$E$2:$E$26,MATCH($C265,'Shultis Faw'!$A$2:$A$26,1)))/(INDEX('Shultis Faw'!$A$2:$A$26,MATCH($C265,'Shultis Faw'!$A$2:$A$26,1)+1)-INDEX('Shultis Faw'!$A$2:$A$26,MATCH($C265,'Shultis Faw'!$A$2:$A$26,1))),$C265*'Shultis Faw'!$E$2/'Shultis Faw'!$A$2)</f>
        <v>7.7491679999999993E-2</v>
      </c>
      <c r="M265" s="83">
        <f>_xlfn.IFNA(INDEX('Shultis Faw'!$F$2:$F$26,MATCH($C265,'Shultis Faw'!$A$2:$A$26,1))+($C265-INDEX('Shultis Faw'!$A$2:$A$26,MATCH($C265,'Shultis Faw'!$A$2:$A$26,1)))*(INDEX('Shultis Faw'!$F$2:$F$26,MATCH($C265,'Shultis Faw'!$A$2:$A$26,1)+1)-INDEX('Shultis Faw'!$F$2:$F$26,MATCH($C265,'Shultis Faw'!$A$2:$A$26,1)))/(INDEX('Shultis Faw'!$A$2:$A$26,MATCH($C265,'Shultis Faw'!$A$2:$A$26,1)+1)-INDEX('Shultis Faw'!$A$2:$A$26,MATCH($C265,'Shultis Faw'!$A$2:$A$26,1))),$C265*'Shultis Faw'!$F$2/'Shultis Faw'!$A$2)</f>
        <v>14.405263999999999</v>
      </c>
      <c r="N265" s="83">
        <f>J265*(H265*'Externe blootstelling'!$D$23/2)^K265+L265*(TANH(((H265*'Externe blootstelling'!$D$23)/(2*M265))-2)-TANH(-2))/(1-TANH(-2))</f>
        <v>1.9087823322238737</v>
      </c>
      <c r="O265" s="83">
        <f>IF(N265=1,1+(I265-1)*H265*'Externe blootstelling'!$D$23/2,1+(I265-1)*(N265^(H265*'Externe blootstelling'!$D$23/2)-1)/(N265-1))</f>
        <v>9.3543177833221325</v>
      </c>
      <c r="P265" s="67">
        <f>G265*EXP(-H265*'Externe blootstelling'!$D$23/2)*O265</f>
        <v>3.8696658953574849E-5</v>
      </c>
      <c r="Q265" s="68"/>
    </row>
    <row r="266" spans="1:17" x14ac:dyDescent="0.2">
      <c r="A266" s="217"/>
      <c r="B266" s="64" t="s">
        <v>104</v>
      </c>
      <c r="C266" s="66">
        <v>0.18824000000000002</v>
      </c>
      <c r="D266" s="66">
        <f t="shared" si="18"/>
        <v>3.0118400000000006E-14</v>
      </c>
      <c r="E266" s="66">
        <v>2.3899999999999998E-3</v>
      </c>
      <c r="F266" s="66">
        <f>_xlfn.IFNA(INDEX('hp (pSv cm2)'!$B$2:$B$52,MATCH($C266,'hp (pSv cm2)'!$A$2:$A$52,1))+($C266-INDEX('hp (pSv cm2)'!$A$2:$A$52,MATCH($C266,'hp (pSv cm2)'!$A$2:$A$52,1)))*(INDEX('hp (pSv cm2)'!$B$2:$B$52,MATCH($C266,'hp (pSv cm2)'!$A$2:$A$52,1)+1)-INDEX('hp (pSv cm2)'!$B$2:$B$52,MATCH($C266,'hp (pSv cm2)'!$A$2:$A$52,1)))/(INDEX('hp (pSv cm2)'!$A$2:$A$52,MATCH($C266,'hp (pSv cm2)'!$A$2:$A$52,1)+1)-INDEX('hp (pSv cm2)'!$A$2:$A$52,MATCH($C266,'hp (pSv cm2)'!$A$2:$A$52,1))),$C266*'hp (pSv cm2)'!$B$2/'hp (pSv cm2)'!$A$2)</f>
        <v>0.94049440000000006</v>
      </c>
      <c r="G266" s="67">
        <f t="shared" si="19"/>
        <v>2.2477816160000001E-3</v>
      </c>
      <c r="H266" s="83">
        <f>_xlfn.IFNA(0.997*(INDEX('Mass attenuation coefficients'!$B$2:$B$37,MATCH($C266,'Mass attenuation coefficients'!$A$2:$A$37,1))+($C266-INDEX('Mass attenuation coefficients'!$A$2:$A$37,MATCH($C266,'Mass attenuation coefficients'!$A$2:$A$37,1)))*(INDEX('Mass attenuation coefficients'!$B$2:$B$37,MATCH($C266,'Mass attenuation coefficients'!$A$2:$A$37,1)+1)-INDEX('Mass attenuation coefficients'!$B$2:$B$37,MATCH($C266,'Mass attenuation coefficients'!$A$2:$A$37,1)))/(INDEX('Mass attenuation coefficients'!$A$2:$A$37,MATCH($C266,'Mass attenuation coefficients'!$A$2:$A$37,1)+1)-INDEX('Mass attenuation coefficients'!$A$2:$A$37,MATCH($C266,'Mass attenuation coefficients'!$A$2:$A$37,1)))),0.997*$C266*'Mass attenuation coefficients'!$B$2/'Mass attenuation coefficients'!$A$2)</f>
        <v>0.1397546744</v>
      </c>
      <c r="I266" s="83">
        <f>_xlfn.IFNA(INDEX('Shultis Faw'!$C$2:$C$26,MATCH($C266,'Shultis Faw'!$A$2:$A$26,1))+($C266-INDEX('Shultis Faw'!$A$2:$A$26,MATCH($C266,'Shultis Faw'!$A$2:$A$26,1)))*(INDEX('Shultis Faw'!$C$2:$C$26,MATCH($C266,'Shultis Faw'!$A$2:$A$26,1)+1)-INDEX('Shultis Faw'!$C$2:$C$26,MATCH($C266,'Shultis Faw'!$A$2:$A$26,1)))/(INDEX('Shultis Faw'!$A$2:$A$26,MATCH($C266,'Shultis Faw'!$A$2:$A$26,1)+1)-INDEX('Shultis Faw'!$A$2:$A$26,MATCH($C266,'Shultis Faw'!$A$2:$A$26,1))),$C266*'Shultis Faw'!$C$2/'Shultis Faw'!$A$2)</f>
        <v>3.5765487999999999</v>
      </c>
      <c r="J266" s="83">
        <f>_xlfn.IFNA(INDEX('Shultis Faw'!$D$2:$D$26,MATCH($C266,'Shultis Faw'!$A$2:$A$26,1))+($C266-INDEX('Shultis Faw'!$A$2:$A$26,MATCH($C266,'Shultis Faw'!$A$2:$A$26,1)))*(INDEX('Shultis Faw'!$D$2:$D$26,MATCH($C266,'Shultis Faw'!$A$2:$A$26,1)+1)-INDEX('Shultis Faw'!$D$2:$D$26,MATCH($C266,'Shultis Faw'!$A$2:$A$26,1)))/(INDEX('Shultis Faw'!$A$2:$A$26,MATCH($C266,'Shultis Faw'!$A$2:$A$26,1)+1)-INDEX('Shultis Faw'!$A$2:$A$26,MATCH($C266,'Shultis Faw'!$A$2:$A$26,1))),$C266*'Shultis Faw'!$D$2/'Shultis Faw'!$A$2)</f>
        <v>2.1746976</v>
      </c>
      <c r="K266" s="83">
        <f>_xlfn.IFNA(INDEX('Shultis Faw'!$B$2:$B$26,MATCH($C266,'Shultis Faw'!$A$2:$A$26,1))+($C266-INDEX('Shultis Faw'!$A$2:$A$26,MATCH($C266,'Shultis Faw'!$A$2:$A$26,1)))*(INDEX('Shultis Faw'!$B$2:$B$26,MATCH($C266,'Shultis Faw'!$A$2:$A$26,1)+1)-INDEX('Shultis Faw'!$B$2:$B$26,MATCH($C266,'Shultis Faw'!$A$2:$A$26,1)))/(INDEX('Shultis Faw'!$A$2:$A$26,MATCH($C266,'Shultis Faw'!$A$2:$A$26,1)+1)-INDEX('Shultis Faw'!$A$2:$A$26,MATCH($C266,'Shultis Faw'!$A$2:$A$26,1))),$C266*'Shultis Faw'!$B$2/'Shultis Faw'!$A$2)</f>
        <v>-0.17811679999999999</v>
      </c>
      <c r="L266" s="83">
        <f>_xlfn.IFNA(INDEX('Shultis Faw'!$E$2:$E$26,MATCH($C266,'Shultis Faw'!$A$2:$A$26,1))+($C266-INDEX('Shultis Faw'!$A$2:$A$26,MATCH($C266,'Shultis Faw'!$A$2:$A$26,1)))*(INDEX('Shultis Faw'!$E$2:$E$26,MATCH($C266,'Shultis Faw'!$A$2:$A$26,1)+1)-INDEX('Shultis Faw'!$E$2:$E$26,MATCH($C266,'Shultis Faw'!$A$2:$A$26,1)))/(INDEX('Shultis Faw'!$A$2:$A$26,MATCH($C266,'Shultis Faw'!$A$2:$A$26,1)+1)-INDEX('Shultis Faw'!$A$2:$A$26,MATCH($C266,'Shultis Faw'!$A$2:$A$26,1))),$C266*'Shultis Faw'!$E$2/'Shultis Faw'!$A$2)</f>
        <v>7.7470559999999994E-2</v>
      </c>
      <c r="M266" s="83">
        <f>_xlfn.IFNA(INDEX('Shultis Faw'!$F$2:$F$26,MATCH($C266,'Shultis Faw'!$A$2:$A$26,1))+($C266-INDEX('Shultis Faw'!$A$2:$A$26,MATCH($C266,'Shultis Faw'!$A$2:$A$26,1)))*(INDEX('Shultis Faw'!$F$2:$F$26,MATCH($C266,'Shultis Faw'!$A$2:$A$26,1)+1)-INDEX('Shultis Faw'!$F$2:$F$26,MATCH($C266,'Shultis Faw'!$A$2:$A$26,1)))/(INDEX('Shultis Faw'!$A$2:$A$26,MATCH($C266,'Shultis Faw'!$A$2:$A$26,1)+1)-INDEX('Shultis Faw'!$A$2:$A$26,MATCH($C266,'Shultis Faw'!$A$2:$A$26,1))),$C266*'Shultis Faw'!$F$2/'Shultis Faw'!$A$2)</f>
        <v>14.427087999999999</v>
      </c>
      <c r="N266" s="83">
        <f>J266*(H266*'Externe blootstelling'!$D$23/2)^K266+L266*(TANH(((H266*'Externe blootstelling'!$D$23)/(2*M266))-2)-TANH(-2))/(1-TANH(-2))</f>
        <v>1.9065503774635255</v>
      </c>
      <c r="O266" s="83">
        <f>IF(N266=1,1+(I266-1)*H266*'Externe blootstelling'!$D$23/2,1+(I266-1)*(N266^(H266*'Externe blootstelling'!$D$23/2)-1)/(N266-1))</f>
        <v>9.1513680420847372</v>
      </c>
      <c r="P266" s="67">
        <f>G266*EXP(-H266*'Externe blootstelling'!$D$23/2)*O266</f>
        <v>2.5282491973123837E-3</v>
      </c>
      <c r="Q266" s="68"/>
    </row>
    <row r="267" spans="1:17" x14ac:dyDescent="0.2">
      <c r="A267" s="217"/>
      <c r="B267" s="64" t="s">
        <v>104</v>
      </c>
      <c r="C267" s="66">
        <v>0.19550000000000001</v>
      </c>
      <c r="D267" s="66">
        <f t="shared" si="18"/>
        <v>3.128E-14</v>
      </c>
      <c r="E267" s="66">
        <v>2.0000000000000002E-5</v>
      </c>
      <c r="F267" s="66">
        <f>_xlfn.IFNA(INDEX('hp (pSv cm2)'!$B$2:$B$52,MATCH($C267,'hp (pSv cm2)'!$A$2:$A$52,1))+($C267-INDEX('hp (pSv cm2)'!$A$2:$A$52,MATCH($C267,'hp (pSv cm2)'!$A$2:$A$52,1)))*(INDEX('hp (pSv cm2)'!$B$2:$B$52,MATCH($C267,'hp (pSv cm2)'!$A$2:$A$52,1)+1)-INDEX('hp (pSv cm2)'!$B$2:$B$52,MATCH($C267,'hp (pSv cm2)'!$A$2:$A$52,1)))/(INDEX('hp (pSv cm2)'!$A$2:$A$52,MATCH($C267,'hp (pSv cm2)'!$A$2:$A$52,1)+1)-INDEX('hp (pSv cm2)'!$A$2:$A$52,MATCH($C267,'hp (pSv cm2)'!$A$2:$A$52,1))),$C267*'hp (pSv cm2)'!$B$2/'hp (pSv cm2)'!$A$2)</f>
        <v>0.97722999999999993</v>
      </c>
      <c r="G267" s="67">
        <f t="shared" si="19"/>
        <v>1.9544599999999999E-5</v>
      </c>
      <c r="H267" s="83">
        <f>_xlfn.IFNA(0.997*(INDEX('Mass attenuation coefficients'!$B$2:$B$37,MATCH($C267,'Mass attenuation coefficients'!$A$2:$A$37,1))+($C267-INDEX('Mass attenuation coefficients'!$A$2:$A$37,MATCH($C267,'Mass attenuation coefficients'!$A$2:$A$37,1)))*(INDEX('Mass attenuation coefficients'!$B$2:$B$37,MATCH($C267,'Mass attenuation coefficients'!$A$2:$A$37,1)+1)-INDEX('Mass attenuation coefficients'!$B$2:$B$37,MATCH($C267,'Mass attenuation coefficients'!$A$2:$A$37,1)))/(INDEX('Mass attenuation coefficients'!$A$2:$A$37,MATCH($C267,'Mass attenuation coefficients'!$A$2:$A$37,1)+1)-INDEX('Mass attenuation coefficients'!$A$2:$A$37,MATCH($C267,'Mass attenuation coefficients'!$A$2:$A$37,1)))),0.997*$C267*'Mass attenuation coefficients'!$B$2/'Mass attenuation coefficients'!$A$2)</f>
        <v>0.13780035500000001</v>
      </c>
      <c r="I267" s="83">
        <f>_xlfn.IFNA(INDEX('Shultis Faw'!$C$2:$C$26,MATCH($C267,'Shultis Faw'!$A$2:$A$26,1))+($C267-INDEX('Shultis Faw'!$A$2:$A$26,MATCH($C267,'Shultis Faw'!$A$2:$A$26,1)))*(INDEX('Shultis Faw'!$C$2:$C$26,MATCH($C267,'Shultis Faw'!$A$2:$A$26,1)+1)-INDEX('Shultis Faw'!$C$2:$C$26,MATCH($C267,'Shultis Faw'!$A$2:$A$26,1)))/(INDEX('Shultis Faw'!$A$2:$A$26,MATCH($C267,'Shultis Faw'!$A$2:$A$26,1)+1)-INDEX('Shultis Faw'!$A$2:$A$26,MATCH($C267,'Shultis Faw'!$A$2:$A$26,1))),$C267*'Shultis Faw'!$C$2/'Shultis Faw'!$A$2)</f>
        <v>3.5157100000000003</v>
      </c>
      <c r="J267" s="83">
        <f>_xlfn.IFNA(INDEX('Shultis Faw'!$D$2:$D$26,MATCH($C267,'Shultis Faw'!$A$2:$A$26,1))+($C267-INDEX('Shultis Faw'!$A$2:$A$26,MATCH($C267,'Shultis Faw'!$A$2:$A$26,1)))*(INDEX('Shultis Faw'!$D$2:$D$26,MATCH($C267,'Shultis Faw'!$A$2:$A$26,1)+1)-INDEX('Shultis Faw'!$D$2:$D$26,MATCH($C267,'Shultis Faw'!$A$2:$A$26,1)))/(INDEX('Shultis Faw'!$A$2:$A$26,MATCH($C267,'Shultis Faw'!$A$2:$A$26,1)+1)-INDEX('Shultis Faw'!$A$2:$A$26,MATCH($C267,'Shultis Faw'!$A$2:$A$26,1))),$C267*'Shultis Faw'!$D$2/'Shultis Faw'!$A$2)</f>
        <v>2.1619199999999998</v>
      </c>
      <c r="K267" s="83">
        <f>_xlfn.IFNA(INDEX('Shultis Faw'!$B$2:$B$26,MATCH($C267,'Shultis Faw'!$A$2:$A$26,1))+($C267-INDEX('Shultis Faw'!$A$2:$A$26,MATCH($C267,'Shultis Faw'!$A$2:$A$26,1)))*(INDEX('Shultis Faw'!$B$2:$B$26,MATCH($C267,'Shultis Faw'!$A$2:$A$26,1)+1)-INDEX('Shultis Faw'!$B$2:$B$26,MATCH($C267,'Shultis Faw'!$A$2:$A$26,1)))/(INDEX('Shultis Faw'!$A$2:$A$26,MATCH($C267,'Shultis Faw'!$A$2:$A$26,1)+1)-INDEX('Shultis Faw'!$A$2:$A$26,MATCH($C267,'Shultis Faw'!$A$2:$A$26,1))),$C267*'Shultis Faw'!$B$2/'Shultis Faw'!$A$2)</f>
        <v>-0.17680999999999999</v>
      </c>
      <c r="L267" s="83">
        <f>_xlfn.IFNA(INDEX('Shultis Faw'!$E$2:$E$26,MATCH($C267,'Shultis Faw'!$A$2:$A$26,1))+($C267-INDEX('Shultis Faw'!$A$2:$A$26,MATCH($C267,'Shultis Faw'!$A$2:$A$26,1)))*(INDEX('Shultis Faw'!$E$2:$E$26,MATCH($C267,'Shultis Faw'!$A$2:$A$26,1)+1)-INDEX('Shultis Faw'!$E$2:$E$26,MATCH($C267,'Shultis Faw'!$A$2:$A$26,1)))/(INDEX('Shultis Faw'!$A$2:$A$26,MATCH($C267,'Shultis Faw'!$A$2:$A$26,1)+1)-INDEX('Shultis Faw'!$A$2:$A$26,MATCH($C267,'Shultis Faw'!$A$2:$A$26,1))),$C267*'Shultis Faw'!$E$2/'Shultis Faw'!$A$2)</f>
        <v>7.7426999999999996E-2</v>
      </c>
      <c r="M267" s="83">
        <f>_xlfn.IFNA(INDEX('Shultis Faw'!$F$2:$F$26,MATCH($C267,'Shultis Faw'!$A$2:$A$26,1))+($C267-INDEX('Shultis Faw'!$A$2:$A$26,MATCH($C267,'Shultis Faw'!$A$2:$A$26,1)))*(INDEX('Shultis Faw'!$F$2:$F$26,MATCH($C267,'Shultis Faw'!$A$2:$A$26,1)+1)-INDEX('Shultis Faw'!$F$2:$F$26,MATCH($C267,'Shultis Faw'!$A$2:$A$26,1)))/(INDEX('Shultis Faw'!$A$2:$A$26,MATCH($C267,'Shultis Faw'!$A$2:$A$26,1)+1)-INDEX('Shultis Faw'!$A$2:$A$26,MATCH($C267,'Shultis Faw'!$A$2:$A$26,1))),$C267*'Shultis Faw'!$F$2/'Shultis Faw'!$A$2)</f>
        <v>14.472099999999999</v>
      </c>
      <c r="N267" s="83">
        <f>J267*(H267*'Externe blootstelling'!$D$23/2)^K267+L267*(TANH(((H267*'Externe blootstelling'!$D$23)/(2*M267))-2)-TANH(-2))/(1-TANH(-2))</f>
        <v>1.9019040524763595</v>
      </c>
      <c r="O267" s="83">
        <f>IF(N267=1,1+(I267-1)*H267*'Externe blootstelling'!$D$23/2,1+(I267-1)*(N267^(H267*'Externe blootstelling'!$D$23/2)-1)/(N267-1))</f>
        <v>8.7444556927266142</v>
      </c>
      <c r="P267" s="67">
        <f>G267*EXP(-H267*'Externe blootstelling'!$D$23/2)*O267</f>
        <v>2.163069937191811E-5</v>
      </c>
      <c r="Q267" s="68"/>
    </row>
    <row r="268" spans="1:17" x14ac:dyDescent="0.2">
      <c r="A268" s="217"/>
      <c r="B268" s="64" t="s">
        <v>104</v>
      </c>
      <c r="C268" s="66">
        <v>0.19700000000000001</v>
      </c>
      <c r="D268" s="66">
        <f t="shared" si="18"/>
        <v>3.1520000000000001E-14</v>
      </c>
      <c r="E268" s="66">
        <v>1.5999999999999999E-5</v>
      </c>
      <c r="F268" s="66">
        <f>_xlfn.IFNA(INDEX('hp (pSv cm2)'!$B$2:$B$52,MATCH($C268,'hp (pSv cm2)'!$A$2:$A$52,1))+($C268-INDEX('hp (pSv cm2)'!$A$2:$A$52,MATCH($C268,'hp (pSv cm2)'!$A$2:$A$52,1)))*(INDEX('hp (pSv cm2)'!$B$2:$B$52,MATCH($C268,'hp (pSv cm2)'!$A$2:$A$52,1)+1)-INDEX('hp (pSv cm2)'!$B$2:$B$52,MATCH($C268,'hp (pSv cm2)'!$A$2:$A$52,1)))/(INDEX('hp (pSv cm2)'!$A$2:$A$52,MATCH($C268,'hp (pSv cm2)'!$A$2:$A$52,1)+1)-INDEX('hp (pSv cm2)'!$A$2:$A$52,MATCH($C268,'hp (pSv cm2)'!$A$2:$A$52,1))),$C268*'hp (pSv cm2)'!$B$2/'hp (pSv cm2)'!$A$2)</f>
        <v>0.98482000000000003</v>
      </c>
      <c r="G268" s="67">
        <f t="shared" si="19"/>
        <v>1.575712E-5</v>
      </c>
      <c r="H268" s="83">
        <f>_xlfn.IFNA(0.997*(INDEX('Mass attenuation coefficients'!$B$2:$B$37,MATCH($C268,'Mass attenuation coefficients'!$A$2:$A$37,1))+($C268-INDEX('Mass attenuation coefficients'!$A$2:$A$37,MATCH($C268,'Mass attenuation coefficients'!$A$2:$A$37,1)))*(INDEX('Mass attenuation coefficients'!$B$2:$B$37,MATCH($C268,'Mass attenuation coefficients'!$A$2:$A$37,1)+1)-INDEX('Mass attenuation coefficients'!$B$2:$B$37,MATCH($C268,'Mass attenuation coefficients'!$A$2:$A$37,1)))/(INDEX('Mass attenuation coefficients'!$A$2:$A$37,MATCH($C268,'Mass attenuation coefficients'!$A$2:$A$37,1)+1)-INDEX('Mass attenuation coefficients'!$A$2:$A$37,MATCH($C268,'Mass attenuation coefficients'!$A$2:$A$37,1)))),0.997*$C268*'Mass attenuation coefficients'!$B$2/'Mass attenuation coefficients'!$A$2)</f>
        <v>0.13739657000000002</v>
      </c>
      <c r="I268" s="83">
        <f>_xlfn.IFNA(INDEX('Shultis Faw'!$C$2:$C$26,MATCH($C268,'Shultis Faw'!$A$2:$A$26,1))+($C268-INDEX('Shultis Faw'!$A$2:$A$26,MATCH($C268,'Shultis Faw'!$A$2:$A$26,1)))*(INDEX('Shultis Faw'!$C$2:$C$26,MATCH($C268,'Shultis Faw'!$A$2:$A$26,1)+1)-INDEX('Shultis Faw'!$C$2:$C$26,MATCH($C268,'Shultis Faw'!$A$2:$A$26,1)))/(INDEX('Shultis Faw'!$A$2:$A$26,MATCH($C268,'Shultis Faw'!$A$2:$A$26,1)+1)-INDEX('Shultis Faw'!$A$2:$A$26,MATCH($C268,'Shultis Faw'!$A$2:$A$26,1))),$C268*'Shultis Faw'!$C$2/'Shultis Faw'!$A$2)</f>
        <v>3.5031400000000001</v>
      </c>
      <c r="J268" s="83">
        <f>_xlfn.IFNA(INDEX('Shultis Faw'!$D$2:$D$26,MATCH($C268,'Shultis Faw'!$A$2:$A$26,1))+($C268-INDEX('Shultis Faw'!$A$2:$A$26,MATCH($C268,'Shultis Faw'!$A$2:$A$26,1)))*(INDEX('Shultis Faw'!$D$2:$D$26,MATCH($C268,'Shultis Faw'!$A$2:$A$26,1)+1)-INDEX('Shultis Faw'!$D$2:$D$26,MATCH($C268,'Shultis Faw'!$A$2:$A$26,1)))/(INDEX('Shultis Faw'!$A$2:$A$26,MATCH($C268,'Shultis Faw'!$A$2:$A$26,1)+1)-INDEX('Shultis Faw'!$A$2:$A$26,MATCH($C268,'Shultis Faw'!$A$2:$A$26,1))),$C268*'Shultis Faw'!$D$2/'Shultis Faw'!$A$2)</f>
        <v>2.1592799999999999</v>
      </c>
      <c r="K268" s="83">
        <f>_xlfn.IFNA(INDEX('Shultis Faw'!$B$2:$B$26,MATCH($C268,'Shultis Faw'!$A$2:$A$26,1))+($C268-INDEX('Shultis Faw'!$A$2:$A$26,MATCH($C268,'Shultis Faw'!$A$2:$A$26,1)))*(INDEX('Shultis Faw'!$B$2:$B$26,MATCH($C268,'Shultis Faw'!$A$2:$A$26,1)+1)-INDEX('Shultis Faw'!$B$2:$B$26,MATCH($C268,'Shultis Faw'!$A$2:$A$26,1)))/(INDEX('Shultis Faw'!$A$2:$A$26,MATCH($C268,'Shultis Faw'!$A$2:$A$26,1)+1)-INDEX('Shultis Faw'!$A$2:$A$26,MATCH($C268,'Shultis Faw'!$A$2:$A$26,1))),$C268*'Shultis Faw'!$B$2/'Shultis Faw'!$A$2)</f>
        <v>-0.17654</v>
      </c>
      <c r="L268" s="83">
        <f>_xlfn.IFNA(INDEX('Shultis Faw'!$E$2:$E$26,MATCH($C268,'Shultis Faw'!$A$2:$A$26,1))+($C268-INDEX('Shultis Faw'!$A$2:$A$26,MATCH($C268,'Shultis Faw'!$A$2:$A$26,1)))*(INDEX('Shultis Faw'!$E$2:$E$26,MATCH($C268,'Shultis Faw'!$A$2:$A$26,1)+1)-INDEX('Shultis Faw'!$E$2:$E$26,MATCH($C268,'Shultis Faw'!$A$2:$A$26,1)))/(INDEX('Shultis Faw'!$A$2:$A$26,MATCH($C268,'Shultis Faw'!$A$2:$A$26,1)+1)-INDEX('Shultis Faw'!$A$2:$A$26,MATCH($C268,'Shultis Faw'!$A$2:$A$26,1))),$C268*'Shultis Faw'!$E$2/'Shultis Faw'!$A$2)</f>
        <v>7.7418000000000001E-2</v>
      </c>
      <c r="M268" s="83">
        <f>_xlfn.IFNA(INDEX('Shultis Faw'!$F$2:$F$26,MATCH($C268,'Shultis Faw'!$A$2:$A$26,1))+($C268-INDEX('Shultis Faw'!$A$2:$A$26,MATCH($C268,'Shultis Faw'!$A$2:$A$26,1)))*(INDEX('Shultis Faw'!$F$2:$F$26,MATCH($C268,'Shultis Faw'!$A$2:$A$26,1)+1)-INDEX('Shultis Faw'!$F$2:$F$26,MATCH($C268,'Shultis Faw'!$A$2:$A$26,1)))/(INDEX('Shultis Faw'!$A$2:$A$26,MATCH($C268,'Shultis Faw'!$A$2:$A$26,1)+1)-INDEX('Shultis Faw'!$A$2:$A$26,MATCH($C268,'Shultis Faw'!$A$2:$A$26,1))),$C268*'Shultis Faw'!$F$2/'Shultis Faw'!$A$2)</f>
        <v>14.481400000000001</v>
      </c>
      <c r="N268" s="83">
        <f>J268*(H268*'Externe blootstelling'!$D$23/2)^K268+L268*(TANH(((H268*'Externe blootstelling'!$D$23)/(2*M268))-2)-TANH(-2))/(1-TANH(-2))</f>
        <v>1.9009368693946671</v>
      </c>
      <c r="O268" s="83">
        <f>IF(N268=1,1+(I268-1)*H268*'Externe blootstelling'!$D$23/2,1+(I268-1)*(N268^(H268*'Externe blootstelling'!$D$23/2)-1)/(N268-1))</f>
        <v>8.6623069608130692</v>
      </c>
      <c r="P268" s="67">
        <f>G268*EXP(-H268*'Externe blootstelling'!$D$23/2)*O268</f>
        <v>1.7380082321924749E-5</v>
      </c>
      <c r="Q268" s="68"/>
    </row>
    <row r="269" spans="1:17" x14ac:dyDescent="0.2">
      <c r="A269" s="217"/>
      <c r="B269" s="64" t="s">
        <v>104</v>
      </c>
      <c r="C269" s="66">
        <v>0.20250000000000001</v>
      </c>
      <c r="D269" s="66">
        <f t="shared" si="18"/>
        <v>3.24E-14</v>
      </c>
      <c r="E269" s="66">
        <v>2.9999999999999997E-4</v>
      </c>
      <c r="F269" s="66">
        <f>_xlfn.IFNA(INDEX('hp (pSv cm2)'!$B$2:$B$52,MATCH($C269,'hp (pSv cm2)'!$A$2:$A$52,1))+($C269-INDEX('hp (pSv cm2)'!$A$2:$A$52,MATCH($C269,'hp (pSv cm2)'!$A$2:$A$52,1)))*(INDEX('hp (pSv cm2)'!$B$2:$B$52,MATCH($C269,'hp (pSv cm2)'!$A$2:$A$52,1)+1)-INDEX('hp (pSv cm2)'!$B$2:$B$52,MATCH($C269,'hp (pSv cm2)'!$A$2:$A$52,1)))/(INDEX('hp (pSv cm2)'!$A$2:$A$52,MATCH($C269,'hp (pSv cm2)'!$A$2:$A$52,1)+1)-INDEX('hp (pSv cm2)'!$A$2:$A$52,MATCH($C269,'hp (pSv cm2)'!$A$2:$A$52,1))),$C269*'hp (pSv cm2)'!$B$2/'hp (pSv cm2)'!$A$2)</f>
        <v>1.01275</v>
      </c>
      <c r="G269" s="67">
        <f t="shared" si="19"/>
        <v>3.0382499999999997E-4</v>
      </c>
      <c r="H269" s="83">
        <f>_xlfn.IFNA(0.997*(INDEX('Mass attenuation coefficients'!$B$2:$B$37,MATCH($C269,'Mass attenuation coefficients'!$A$2:$A$37,1))+($C269-INDEX('Mass attenuation coefficients'!$A$2:$A$37,MATCH($C269,'Mass attenuation coefficients'!$A$2:$A$37,1)))*(INDEX('Mass attenuation coefficients'!$B$2:$B$37,MATCH($C269,'Mass attenuation coefficients'!$A$2:$A$37,1)+1)-INDEX('Mass attenuation coefficients'!$B$2:$B$37,MATCH($C269,'Mass attenuation coefficients'!$A$2:$A$37,1)))/(INDEX('Mass attenuation coefficients'!$A$2:$A$37,MATCH($C269,'Mass attenuation coefficients'!$A$2:$A$37,1)+1)-INDEX('Mass attenuation coefficients'!$A$2:$A$37,MATCH($C269,'Mass attenuation coefficients'!$A$2:$A$37,1)))),0.997*$C269*'Mass attenuation coefficients'!$B$2/'Mass attenuation coefficients'!$A$2)</f>
        <v>0.13613038000000002</v>
      </c>
      <c r="I269" s="83">
        <f>_xlfn.IFNA(INDEX('Shultis Faw'!$C$2:$C$26,MATCH($C269,'Shultis Faw'!$A$2:$A$26,1))+($C269-INDEX('Shultis Faw'!$A$2:$A$26,MATCH($C269,'Shultis Faw'!$A$2:$A$26,1)))*(INDEX('Shultis Faw'!$C$2:$C$26,MATCH($C269,'Shultis Faw'!$A$2:$A$26,1)+1)-INDEX('Shultis Faw'!$C$2:$C$26,MATCH($C269,'Shultis Faw'!$A$2:$A$26,1)))/(INDEX('Shultis Faw'!$A$2:$A$26,MATCH($C269,'Shultis Faw'!$A$2:$A$26,1)+1)-INDEX('Shultis Faw'!$A$2:$A$26,MATCH($C269,'Shultis Faw'!$A$2:$A$26,1))),$C269*'Shultis Faw'!$C$2/'Shultis Faw'!$A$2)</f>
        <v>3.4640500000000003</v>
      </c>
      <c r="J269" s="83">
        <f>_xlfn.IFNA(INDEX('Shultis Faw'!$D$2:$D$26,MATCH($C269,'Shultis Faw'!$A$2:$A$26,1))+($C269-INDEX('Shultis Faw'!$A$2:$A$26,MATCH($C269,'Shultis Faw'!$A$2:$A$26,1)))*(INDEX('Shultis Faw'!$D$2:$D$26,MATCH($C269,'Shultis Faw'!$A$2:$A$26,1)+1)-INDEX('Shultis Faw'!$D$2:$D$26,MATCH($C269,'Shultis Faw'!$A$2:$A$26,1)))/(INDEX('Shultis Faw'!$A$2:$A$26,MATCH($C269,'Shultis Faw'!$A$2:$A$26,1)+1)-INDEX('Shultis Faw'!$A$2:$A$26,MATCH($C269,'Shultis Faw'!$A$2:$A$26,1))),$C269*'Shultis Faw'!$D$2/'Shultis Faw'!$A$2)</f>
        <v>2.1507000000000001</v>
      </c>
      <c r="K269" s="83">
        <f>_xlfn.IFNA(INDEX('Shultis Faw'!$B$2:$B$26,MATCH($C269,'Shultis Faw'!$A$2:$A$26,1))+($C269-INDEX('Shultis Faw'!$A$2:$A$26,MATCH($C269,'Shultis Faw'!$A$2:$A$26,1)))*(INDEX('Shultis Faw'!$B$2:$B$26,MATCH($C269,'Shultis Faw'!$A$2:$A$26,1)+1)-INDEX('Shultis Faw'!$B$2:$B$26,MATCH($C269,'Shultis Faw'!$A$2:$A$26,1)))/(INDEX('Shultis Faw'!$A$2:$A$26,MATCH($C269,'Shultis Faw'!$A$2:$A$26,1)+1)-INDEX('Shultis Faw'!$A$2:$A$26,MATCH($C269,'Shultis Faw'!$A$2:$A$26,1))),$C269*'Shultis Faw'!$B$2/'Shultis Faw'!$A$2)</f>
        <v>-0.1757</v>
      </c>
      <c r="L269" s="83">
        <f>_xlfn.IFNA(INDEX('Shultis Faw'!$E$2:$E$26,MATCH($C269,'Shultis Faw'!$A$2:$A$26,1))+($C269-INDEX('Shultis Faw'!$A$2:$A$26,MATCH($C269,'Shultis Faw'!$A$2:$A$26,1)))*(INDEX('Shultis Faw'!$E$2:$E$26,MATCH($C269,'Shultis Faw'!$A$2:$A$26,1)+1)-INDEX('Shultis Faw'!$E$2:$E$26,MATCH($C269,'Shultis Faw'!$A$2:$A$26,1)))/(INDEX('Shultis Faw'!$A$2:$A$26,MATCH($C269,'Shultis Faw'!$A$2:$A$26,1)+1)-INDEX('Shultis Faw'!$A$2:$A$26,MATCH($C269,'Shultis Faw'!$A$2:$A$26,1))),$C269*'Shultis Faw'!$E$2/'Shultis Faw'!$A$2)</f>
        <v>7.710249999999999E-2</v>
      </c>
      <c r="M269" s="83">
        <f>_xlfn.IFNA(INDEX('Shultis Faw'!$F$2:$F$26,MATCH($C269,'Shultis Faw'!$A$2:$A$26,1))+($C269-INDEX('Shultis Faw'!$A$2:$A$26,MATCH($C269,'Shultis Faw'!$A$2:$A$26,1)))*(INDEX('Shultis Faw'!$F$2:$F$26,MATCH($C269,'Shultis Faw'!$A$2:$A$26,1)+1)-INDEX('Shultis Faw'!$F$2:$F$26,MATCH($C269,'Shultis Faw'!$A$2:$A$26,1)))/(INDEX('Shultis Faw'!$A$2:$A$26,MATCH($C269,'Shultis Faw'!$A$2:$A$26,1)+1)-INDEX('Shultis Faw'!$A$2:$A$26,MATCH($C269,'Shultis Faw'!$A$2:$A$26,1))),$C269*'Shultis Faw'!$F$2/'Shultis Faw'!$A$2)</f>
        <v>14.492749999999999</v>
      </c>
      <c r="N269" s="83">
        <f>J269*(H269*'Externe blootstelling'!$D$23/2)^K269+L269*(TANH(((H269*'Externe blootstelling'!$D$23)/(2*M269))-2)-TANH(-2))/(1-TANH(-2))</f>
        <v>1.8976119946249621</v>
      </c>
      <c r="O269" s="83">
        <f>IF(N269=1,1+(I269-1)*H269*'Externe blootstelling'!$D$23/2,1+(I269-1)*(N269^(H269*'Externe blootstelling'!$D$23/2)-1)/(N269-1))</f>
        <v>8.4091384994197398</v>
      </c>
      <c r="P269" s="67">
        <f>G269*EXP(-H269*'Externe blootstelling'!$D$23/2)*O269</f>
        <v>3.3156212866446893E-4</v>
      </c>
      <c r="Q269" s="68"/>
    </row>
    <row r="270" spans="1:17" x14ac:dyDescent="0.2">
      <c r="A270" s="217"/>
      <c r="B270" s="64" t="s">
        <v>104</v>
      </c>
      <c r="C270" s="66">
        <v>0.2094</v>
      </c>
      <c r="D270" s="66">
        <f t="shared" si="18"/>
        <v>3.3503999999999995E-14</v>
      </c>
      <c r="E270" s="66">
        <v>2.5000000000000001E-5</v>
      </c>
      <c r="F270" s="66">
        <f>_xlfn.IFNA(INDEX('hp (pSv cm2)'!$B$2:$B$52,MATCH($C270,'hp (pSv cm2)'!$A$2:$A$52,1))+($C270-INDEX('hp (pSv cm2)'!$A$2:$A$52,MATCH($C270,'hp (pSv cm2)'!$A$2:$A$52,1)))*(INDEX('hp (pSv cm2)'!$B$2:$B$52,MATCH($C270,'hp (pSv cm2)'!$A$2:$A$52,1)+1)-INDEX('hp (pSv cm2)'!$B$2:$B$52,MATCH($C270,'hp (pSv cm2)'!$A$2:$A$52,1)))/(INDEX('hp (pSv cm2)'!$A$2:$A$52,MATCH($C270,'hp (pSv cm2)'!$A$2:$A$52,1)+1)-INDEX('hp (pSv cm2)'!$A$2:$A$52,MATCH($C270,'hp (pSv cm2)'!$A$2:$A$52,1))),$C270*'hp (pSv cm2)'!$B$2/'hp (pSv cm2)'!$A$2)</f>
        <v>1.0479399999999999</v>
      </c>
      <c r="G270" s="67">
        <f t="shared" si="19"/>
        <v>2.6198499999999997E-5</v>
      </c>
      <c r="H270" s="83">
        <f>_xlfn.IFNA(0.997*(INDEX('Mass attenuation coefficients'!$B$2:$B$37,MATCH($C270,'Mass attenuation coefficients'!$A$2:$A$37,1))+($C270-INDEX('Mass attenuation coefficients'!$A$2:$A$37,MATCH($C270,'Mass attenuation coefficients'!$A$2:$A$37,1)))*(INDEX('Mass attenuation coefficients'!$B$2:$B$37,MATCH($C270,'Mass attenuation coefficients'!$A$2:$A$37,1)+1)-INDEX('Mass attenuation coefficients'!$B$2:$B$37,MATCH($C270,'Mass attenuation coefficients'!$A$2:$A$37,1)))/(INDEX('Mass attenuation coefficients'!$A$2:$A$37,MATCH($C270,'Mass attenuation coefficients'!$A$2:$A$37,1)+1)-INDEX('Mass attenuation coefficients'!$A$2:$A$37,MATCH($C270,'Mass attenuation coefficients'!$A$2:$A$37,1)))),0.997*$C270*'Mass attenuation coefficients'!$B$2/'Mass attenuation coefficients'!$A$2)</f>
        <v>0.13486458880000002</v>
      </c>
      <c r="I270" s="83">
        <f>_xlfn.IFNA(INDEX('Shultis Faw'!$C$2:$C$26,MATCH($C270,'Shultis Faw'!$A$2:$A$26,1))+($C270-INDEX('Shultis Faw'!$A$2:$A$26,MATCH($C270,'Shultis Faw'!$A$2:$A$26,1)))*(INDEX('Shultis Faw'!$C$2:$C$26,MATCH($C270,'Shultis Faw'!$A$2:$A$26,1)+1)-INDEX('Shultis Faw'!$C$2:$C$26,MATCH($C270,'Shultis Faw'!$A$2:$A$26,1)))/(INDEX('Shultis Faw'!$A$2:$A$26,MATCH($C270,'Shultis Faw'!$A$2:$A$26,1)+1)-INDEX('Shultis Faw'!$A$2:$A$26,MATCH($C270,'Shultis Faw'!$A$2:$A$26,1))),$C270*'Shultis Faw'!$C$2/'Shultis Faw'!$A$2)</f>
        <v>3.425548</v>
      </c>
      <c r="J270" s="83">
        <f>_xlfn.IFNA(INDEX('Shultis Faw'!$D$2:$D$26,MATCH($C270,'Shultis Faw'!$A$2:$A$26,1))+($C270-INDEX('Shultis Faw'!$A$2:$A$26,MATCH($C270,'Shultis Faw'!$A$2:$A$26,1)))*(INDEX('Shultis Faw'!$D$2:$D$26,MATCH($C270,'Shultis Faw'!$A$2:$A$26,1)+1)-INDEX('Shultis Faw'!$D$2:$D$26,MATCH($C270,'Shultis Faw'!$A$2:$A$26,1)))/(INDEX('Shultis Faw'!$A$2:$A$26,MATCH($C270,'Shultis Faw'!$A$2:$A$26,1)+1)-INDEX('Shultis Faw'!$A$2:$A$26,MATCH($C270,'Shultis Faw'!$A$2:$A$26,1))),$C270*'Shultis Faw'!$D$2/'Shultis Faw'!$A$2)</f>
        <v>2.1415919999999997</v>
      </c>
      <c r="K270" s="83">
        <f>_xlfn.IFNA(INDEX('Shultis Faw'!$B$2:$B$26,MATCH($C270,'Shultis Faw'!$A$2:$A$26,1))+($C270-INDEX('Shultis Faw'!$A$2:$A$26,MATCH($C270,'Shultis Faw'!$A$2:$A$26,1)))*(INDEX('Shultis Faw'!$B$2:$B$26,MATCH($C270,'Shultis Faw'!$A$2:$A$26,1)+1)-INDEX('Shultis Faw'!$B$2:$B$26,MATCH($C270,'Shultis Faw'!$A$2:$A$26,1)))/(INDEX('Shultis Faw'!$A$2:$A$26,MATCH($C270,'Shultis Faw'!$A$2:$A$26,1)+1)-INDEX('Shultis Faw'!$A$2:$A$26,MATCH($C270,'Shultis Faw'!$A$2:$A$26,1))),$C270*'Shultis Faw'!$B$2/'Shultis Faw'!$A$2)</f>
        <v>-0.174872</v>
      </c>
      <c r="L270" s="83">
        <f>_xlfn.IFNA(INDEX('Shultis Faw'!$E$2:$E$26,MATCH($C270,'Shultis Faw'!$A$2:$A$26,1))+($C270-INDEX('Shultis Faw'!$A$2:$A$26,MATCH($C270,'Shultis Faw'!$A$2:$A$26,1)))*(INDEX('Shultis Faw'!$E$2:$E$26,MATCH($C270,'Shultis Faw'!$A$2:$A$26,1)+1)-INDEX('Shultis Faw'!$E$2:$E$26,MATCH($C270,'Shultis Faw'!$A$2:$A$26,1)))/(INDEX('Shultis Faw'!$A$2:$A$26,MATCH($C270,'Shultis Faw'!$A$2:$A$26,1)+1)-INDEX('Shultis Faw'!$A$2:$A$26,MATCH($C270,'Shultis Faw'!$A$2:$A$26,1))),$C270*'Shultis Faw'!$E$2/'Shultis Faw'!$A$2)</f>
        <v>7.6281399999999999E-2</v>
      </c>
      <c r="M270" s="83">
        <f>_xlfn.IFNA(INDEX('Shultis Faw'!$F$2:$F$26,MATCH($C270,'Shultis Faw'!$A$2:$A$26,1))+($C270-INDEX('Shultis Faw'!$A$2:$A$26,MATCH($C270,'Shultis Faw'!$A$2:$A$26,1)))*(INDEX('Shultis Faw'!$F$2:$F$26,MATCH($C270,'Shultis Faw'!$A$2:$A$26,1)+1)-INDEX('Shultis Faw'!$F$2:$F$26,MATCH($C270,'Shultis Faw'!$A$2:$A$26,1)))/(INDEX('Shultis Faw'!$A$2:$A$26,MATCH($C270,'Shultis Faw'!$A$2:$A$26,1)+1)-INDEX('Shultis Faw'!$A$2:$A$26,MATCH($C270,'Shultis Faw'!$A$2:$A$26,1))),$C270*'Shultis Faw'!$F$2/'Shultis Faw'!$A$2)</f>
        <v>14.47274</v>
      </c>
      <c r="N270" s="83">
        <f>J270*(H270*'Externe blootstelling'!$D$23/2)^K270+L270*(TANH(((H270*'Externe blootstelling'!$D$23)/(2*M270))-2)-TANH(-2))/(1-TANH(-2))</f>
        <v>1.8937764211228352</v>
      </c>
      <c r="O270" s="83">
        <f>IF(N270=1,1+(I270-1)*H270*'Externe blootstelling'!$D$23/2,1+(I270-1)*(N270^(H270*'Externe blootstelling'!$D$23/2)-1)/(N270-1))</f>
        <v>8.1627994975732037</v>
      </c>
      <c r="P270" s="67">
        <f>G270*EXP(-H270*'Externe blootstelling'!$D$23/2)*O270</f>
        <v>2.8284685536092664E-5</v>
      </c>
      <c r="Q270" s="68"/>
    </row>
    <row r="271" spans="1:17" x14ac:dyDescent="0.2">
      <c r="A271" s="217"/>
      <c r="B271" s="64" t="s">
        <v>104</v>
      </c>
      <c r="C271" s="66">
        <v>0.21940000000000001</v>
      </c>
      <c r="D271" s="66">
        <f t="shared" si="18"/>
        <v>3.5103999999999996E-14</v>
      </c>
      <c r="E271" s="66">
        <v>2.3E-5</v>
      </c>
      <c r="F271" s="66">
        <f>_xlfn.IFNA(INDEX('hp (pSv cm2)'!$B$2:$B$52,MATCH($C271,'hp (pSv cm2)'!$A$2:$A$52,1))+($C271-INDEX('hp (pSv cm2)'!$A$2:$A$52,MATCH($C271,'hp (pSv cm2)'!$A$2:$A$52,1)))*(INDEX('hp (pSv cm2)'!$B$2:$B$52,MATCH($C271,'hp (pSv cm2)'!$A$2:$A$52,1)+1)-INDEX('hp (pSv cm2)'!$B$2:$B$52,MATCH($C271,'hp (pSv cm2)'!$A$2:$A$52,1)))/(INDEX('hp (pSv cm2)'!$A$2:$A$52,MATCH($C271,'hp (pSv cm2)'!$A$2:$A$52,1)+1)-INDEX('hp (pSv cm2)'!$A$2:$A$52,MATCH($C271,'hp (pSv cm2)'!$A$2:$A$52,1))),$C271*'hp (pSv cm2)'!$B$2/'hp (pSv cm2)'!$A$2)</f>
        <v>1.09894</v>
      </c>
      <c r="G271" s="67">
        <f t="shared" si="19"/>
        <v>2.527562E-5</v>
      </c>
      <c r="H271" s="83">
        <f>_xlfn.IFNA(0.997*(INDEX('Mass attenuation coefficients'!$B$2:$B$37,MATCH($C271,'Mass attenuation coefficients'!$A$2:$A$37,1))+($C271-INDEX('Mass attenuation coefficients'!$A$2:$A$37,MATCH($C271,'Mass attenuation coefficients'!$A$2:$A$37,1)))*(INDEX('Mass attenuation coefficients'!$B$2:$B$37,MATCH($C271,'Mass attenuation coefficients'!$A$2:$A$37,1)+1)-INDEX('Mass attenuation coefficients'!$B$2:$B$37,MATCH($C271,'Mass attenuation coefficients'!$A$2:$A$37,1)))/(INDEX('Mass attenuation coefficients'!$A$2:$A$37,MATCH($C271,'Mass attenuation coefficients'!$A$2:$A$37,1)+1)-INDEX('Mass attenuation coefficients'!$A$2:$A$37,MATCH($C271,'Mass attenuation coefficients'!$A$2:$A$37,1)))),0.997*$C271*'Mass attenuation coefficients'!$B$2/'Mass attenuation coefficients'!$A$2)</f>
        <v>0.13303010879999999</v>
      </c>
      <c r="I271" s="83">
        <f>_xlfn.IFNA(INDEX('Shultis Faw'!$C$2:$C$26,MATCH($C271,'Shultis Faw'!$A$2:$A$26,1))+($C271-INDEX('Shultis Faw'!$A$2:$A$26,MATCH($C271,'Shultis Faw'!$A$2:$A$26,1)))*(INDEX('Shultis Faw'!$C$2:$C$26,MATCH($C271,'Shultis Faw'!$A$2:$A$26,1)+1)-INDEX('Shultis Faw'!$C$2:$C$26,MATCH($C271,'Shultis Faw'!$A$2:$A$26,1)))/(INDEX('Shultis Faw'!$A$2:$A$26,MATCH($C271,'Shultis Faw'!$A$2:$A$26,1)+1)-INDEX('Shultis Faw'!$A$2:$A$26,MATCH($C271,'Shultis Faw'!$A$2:$A$26,1))),$C271*'Shultis Faw'!$C$2/'Shultis Faw'!$A$2)</f>
        <v>3.369748</v>
      </c>
      <c r="J271" s="83">
        <f>_xlfn.IFNA(INDEX('Shultis Faw'!$D$2:$D$26,MATCH($C271,'Shultis Faw'!$A$2:$A$26,1))+($C271-INDEX('Shultis Faw'!$A$2:$A$26,MATCH($C271,'Shultis Faw'!$A$2:$A$26,1)))*(INDEX('Shultis Faw'!$D$2:$D$26,MATCH($C271,'Shultis Faw'!$A$2:$A$26,1)+1)-INDEX('Shultis Faw'!$D$2:$D$26,MATCH($C271,'Shultis Faw'!$A$2:$A$26,1)))/(INDEX('Shultis Faw'!$A$2:$A$26,MATCH($C271,'Shultis Faw'!$A$2:$A$26,1)+1)-INDEX('Shultis Faw'!$A$2:$A$26,MATCH($C271,'Shultis Faw'!$A$2:$A$26,1))),$C271*'Shultis Faw'!$D$2/'Shultis Faw'!$A$2)</f>
        <v>2.1283919999999998</v>
      </c>
      <c r="K271" s="83">
        <f>_xlfn.IFNA(INDEX('Shultis Faw'!$B$2:$B$26,MATCH($C271,'Shultis Faw'!$A$2:$A$26,1))+($C271-INDEX('Shultis Faw'!$A$2:$A$26,MATCH($C271,'Shultis Faw'!$A$2:$A$26,1)))*(INDEX('Shultis Faw'!$B$2:$B$26,MATCH($C271,'Shultis Faw'!$A$2:$A$26,1)+1)-INDEX('Shultis Faw'!$B$2:$B$26,MATCH($C271,'Shultis Faw'!$A$2:$A$26,1)))/(INDEX('Shultis Faw'!$A$2:$A$26,MATCH($C271,'Shultis Faw'!$A$2:$A$26,1)+1)-INDEX('Shultis Faw'!$A$2:$A$26,MATCH($C271,'Shultis Faw'!$A$2:$A$26,1))),$C271*'Shultis Faw'!$B$2/'Shultis Faw'!$A$2)</f>
        <v>-0.17367199999999999</v>
      </c>
      <c r="L271" s="83">
        <f>_xlfn.IFNA(INDEX('Shultis Faw'!$E$2:$E$26,MATCH($C271,'Shultis Faw'!$A$2:$A$26,1))+($C271-INDEX('Shultis Faw'!$A$2:$A$26,MATCH($C271,'Shultis Faw'!$A$2:$A$26,1)))*(INDEX('Shultis Faw'!$E$2:$E$26,MATCH($C271,'Shultis Faw'!$A$2:$A$26,1)+1)-INDEX('Shultis Faw'!$E$2:$E$26,MATCH($C271,'Shultis Faw'!$A$2:$A$26,1)))/(INDEX('Shultis Faw'!$A$2:$A$26,MATCH($C271,'Shultis Faw'!$A$2:$A$26,1)+1)-INDEX('Shultis Faw'!$A$2:$A$26,MATCH($C271,'Shultis Faw'!$A$2:$A$26,1))),$C271*'Shultis Faw'!$E$2/'Shultis Faw'!$A$2)</f>
        <v>7.5091400000000003E-2</v>
      </c>
      <c r="M271" s="83">
        <f>_xlfn.IFNA(INDEX('Shultis Faw'!$F$2:$F$26,MATCH($C271,'Shultis Faw'!$A$2:$A$26,1))+($C271-INDEX('Shultis Faw'!$A$2:$A$26,MATCH($C271,'Shultis Faw'!$A$2:$A$26,1)))*(INDEX('Shultis Faw'!$F$2:$F$26,MATCH($C271,'Shultis Faw'!$A$2:$A$26,1)+1)-INDEX('Shultis Faw'!$F$2:$F$26,MATCH($C271,'Shultis Faw'!$A$2:$A$26,1)))/(INDEX('Shultis Faw'!$A$2:$A$26,MATCH($C271,'Shultis Faw'!$A$2:$A$26,1)+1)-INDEX('Shultis Faw'!$A$2:$A$26,MATCH($C271,'Shultis Faw'!$A$2:$A$26,1))),$C271*'Shultis Faw'!$F$2/'Shultis Faw'!$A$2)</f>
        <v>14.44374</v>
      </c>
      <c r="N271" s="83">
        <f>J271*(H271*'Externe blootstelling'!$D$23/2)^K271+L271*(TANH(((H271*'Externe blootstelling'!$D$23)/(2*M271))-2)-TANH(-2))/(1-TANH(-2))</f>
        <v>1.8881703582545171</v>
      </c>
      <c r="O271" s="83">
        <f>IF(N271=1,1+(I271-1)*H271*'Externe blootstelling'!$D$23/2,1+(I271-1)*(N271^(H271*'Externe blootstelling'!$D$23/2)-1)/(N271-1))</f>
        <v>7.8167755985812297</v>
      </c>
      <c r="P271" s="67">
        <f>G271*EXP(-H271*'Externe blootstelling'!$D$23/2)*O271</f>
        <v>2.6860607409732995E-5</v>
      </c>
      <c r="Q271" s="68"/>
    </row>
    <row r="272" spans="1:17" x14ac:dyDescent="0.2">
      <c r="A272" s="217"/>
      <c r="B272" s="64" t="s">
        <v>104</v>
      </c>
      <c r="C272" s="66">
        <v>0.22900999999999999</v>
      </c>
      <c r="D272" s="66">
        <f t="shared" si="18"/>
        <v>3.6641599999999998E-14</v>
      </c>
      <c r="E272" s="66">
        <v>2.3999999999999997E-5</v>
      </c>
      <c r="F272" s="66">
        <f>_xlfn.IFNA(INDEX('hp (pSv cm2)'!$B$2:$B$52,MATCH($C272,'hp (pSv cm2)'!$A$2:$A$52,1))+($C272-INDEX('hp (pSv cm2)'!$A$2:$A$52,MATCH($C272,'hp (pSv cm2)'!$A$2:$A$52,1)))*(INDEX('hp (pSv cm2)'!$B$2:$B$52,MATCH($C272,'hp (pSv cm2)'!$A$2:$A$52,1)+1)-INDEX('hp (pSv cm2)'!$B$2:$B$52,MATCH($C272,'hp (pSv cm2)'!$A$2:$A$52,1)))/(INDEX('hp (pSv cm2)'!$A$2:$A$52,MATCH($C272,'hp (pSv cm2)'!$A$2:$A$52,1)+1)-INDEX('hp (pSv cm2)'!$A$2:$A$52,MATCH($C272,'hp (pSv cm2)'!$A$2:$A$52,1))),$C272*'hp (pSv cm2)'!$B$2/'hp (pSv cm2)'!$A$2)</f>
        <v>1.1479509999999999</v>
      </c>
      <c r="G272" s="67">
        <f t="shared" si="19"/>
        <v>2.7550823999999996E-5</v>
      </c>
      <c r="H272" s="83">
        <f>_xlfn.IFNA(0.997*(INDEX('Mass attenuation coefficients'!$B$2:$B$37,MATCH($C272,'Mass attenuation coefficients'!$A$2:$A$37,1))+($C272-INDEX('Mass attenuation coefficients'!$A$2:$A$37,MATCH($C272,'Mass attenuation coefficients'!$A$2:$A$37,1)))*(INDEX('Mass attenuation coefficients'!$B$2:$B$37,MATCH($C272,'Mass attenuation coefficients'!$A$2:$A$37,1)+1)-INDEX('Mass attenuation coefficients'!$B$2:$B$37,MATCH($C272,'Mass attenuation coefficients'!$A$2:$A$37,1)))/(INDEX('Mass attenuation coefficients'!$A$2:$A$37,MATCH($C272,'Mass attenuation coefficients'!$A$2:$A$37,1)+1)-INDEX('Mass attenuation coefficients'!$A$2:$A$37,MATCH($C272,'Mass attenuation coefficients'!$A$2:$A$37,1)))),0.997*$C272*'Mass attenuation coefficients'!$B$2/'Mass attenuation coefficients'!$A$2)</f>
        <v>0.13126717352</v>
      </c>
      <c r="I272" s="83">
        <f>_xlfn.IFNA(INDEX('Shultis Faw'!$C$2:$C$26,MATCH($C272,'Shultis Faw'!$A$2:$A$26,1))+($C272-INDEX('Shultis Faw'!$A$2:$A$26,MATCH($C272,'Shultis Faw'!$A$2:$A$26,1)))*(INDEX('Shultis Faw'!$C$2:$C$26,MATCH($C272,'Shultis Faw'!$A$2:$A$26,1)+1)-INDEX('Shultis Faw'!$C$2:$C$26,MATCH($C272,'Shultis Faw'!$A$2:$A$26,1)))/(INDEX('Shultis Faw'!$A$2:$A$26,MATCH($C272,'Shultis Faw'!$A$2:$A$26,1)+1)-INDEX('Shultis Faw'!$A$2:$A$26,MATCH($C272,'Shultis Faw'!$A$2:$A$26,1))),$C272*'Shultis Faw'!$C$2/'Shultis Faw'!$A$2)</f>
        <v>3.3161242</v>
      </c>
      <c r="J272" s="83">
        <f>_xlfn.IFNA(INDEX('Shultis Faw'!$D$2:$D$26,MATCH($C272,'Shultis Faw'!$A$2:$A$26,1))+($C272-INDEX('Shultis Faw'!$A$2:$A$26,MATCH($C272,'Shultis Faw'!$A$2:$A$26,1)))*(INDEX('Shultis Faw'!$D$2:$D$26,MATCH($C272,'Shultis Faw'!$A$2:$A$26,1)+1)-INDEX('Shultis Faw'!$D$2:$D$26,MATCH($C272,'Shultis Faw'!$A$2:$A$26,1)))/(INDEX('Shultis Faw'!$A$2:$A$26,MATCH($C272,'Shultis Faw'!$A$2:$A$26,1)+1)-INDEX('Shultis Faw'!$A$2:$A$26,MATCH($C272,'Shultis Faw'!$A$2:$A$26,1))),$C272*'Shultis Faw'!$D$2/'Shultis Faw'!$A$2)</f>
        <v>2.1157067999999999</v>
      </c>
      <c r="K272" s="83">
        <f>_xlfn.IFNA(INDEX('Shultis Faw'!$B$2:$B$26,MATCH($C272,'Shultis Faw'!$A$2:$A$26,1))+($C272-INDEX('Shultis Faw'!$A$2:$A$26,MATCH($C272,'Shultis Faw'!$A$2:$A$26,1)))*(INDEX('Shultis Faw'!$B$2:$B$26,MATCH($C272,'Shultis Faw'!$A$2:$A$26,1)+1)-INDEX('Shultis Faw'!$B$2:$B$26,MATCH($C272,'Shultis Faw'!$A$2:$A$26,1)))/(INDEX('Shultis Faw'!$A$2:$A$26,MATCH($C272,'Shultis Faw'!$A$2:$A$26,1)+1)-INDEX('Shultis Faw'!$A$2:$A$26,MATCH($C272,'Shultis Faw'!$A$2:$A$26,1))),$C272*'Shultis Faw'!$B$2/'Shultis Faw'!$A$2)</f>
        <v>-0.1725188</v>
      </c>
      <c r="L272" s="83">
        <f>_xlfn.IFNA(INDEX('Shultis Faw'!$E$2:$E$26,MATCH($C272,'Shultis Faw'!$A$2:$A$26,1))+($C272-INDEX('Shultis Faw'!$A$2:$A$26,MATCH($C272,'Shultis Faw'!$A$2:$A$26,1)))*(INDEX('Shultis Faw'!$E$2:$E$26,MATCH($C272,'Shultis Faw'!$A$2:$A$26,1)+1)-INDEX('Shultis Faw'!$E$2:$E$26,MATCH($C272,'Shultis Faw'!$A$2:$A$26,1)))/(INDEX('Shultis Faw'!$A$2:$A$26,MATCH($C272,'Shultis Faw'!$A$2:$A$26,1)+1)-INDEX('Shultis Faw'!$A$2:$A$26,MATCH($C272,'Shultis Faw'!$A$2:$A$26,1))),$C272*'Shultis Faw'!$E$2/'Shultis Faw'!$A$2)</f>
        <v>7.3947810000000003E-2</v>
      </c>
      <c r="M272" s="83">
        <f>_xlfn.IFNA(INDEX('Shultis Faw'!$F$2:$F$26,MATCH($C272,'Shultis Faw'!$A$2:$A$26,1))+($C272-INDEX('Shultis Faw'!$A$2:$A$26,MATCH($C272,'Shultis Faw'!$A$2:$A$26,1)))*(INDEX('Shultis Faw'!$F$2:$F$26,MATCH($C272,'Shultis Faw'!$A$2:$A$26,1)+1)-INDEX('Shultis Faw'!$F$2:$F$26,MATCH($C272,'Shultis Faw'!$A$2:$A$26,1)))/(INDEX('Shultis Faw'!$A$2:$A$26,MATCH($C272,'Shultis Faw'!$A$2:$A$26,1)+1)-INDEX('Shultis Faw'!$A$2:$A$26,MATCH($C272,'Shultis Faw'!$A$2:$A$26,1))),$C272*'Shultis Faw'!$F$2/'Shultis Faw'!$A$2)</f>
        <v>14.415871000000001</v>
      </c>
      <c r="N272" s="83">
        <f>J272*(H272*'Externe blootstelling'!$D$23/2)^K272+L272*(TANH(((H272*'Externe blootstelling'!$D$23)/(2*M272))-2)-TANH(-2))/(1-TANH(-2))</f>
        <v>1.8827303309199976</v>
      </c>
      <c r="O272" s="83">
        <f>IF(N272=1,1+(I272-1)*H272*'Externe blootstelling'!$D$23/2,1+(I272-1)*(N272^(H272*'Externe blootstelling'!$D$23/2)-1)/(N272-1))</f>
        <v>7.4961573712300202</v>
      </c>
      <c r="P272" s="67">
        <f>G272*EXP(-H272*'Externe blootstelling'!$D$23/2)*O272</f>
        <v>2.8829967384653047E-5</v>
      </c>
      <c r="Q272" s="68"/>
    </row>
    <row r="273" spans="1:17" x14ac:dyDescent="0.2">
      <c r="A273" s="217"/>
      <c r="B273" s="64" t="s">
        <v>104</v>
      </c>
      <c r="C273" s="66">
        <v>0.23200999999999999</v>
      </c>
      <c r="D273" s="66">
        <f t="shared" ref="D273:D304" si="20">C273*1000000*1.6E-19</f>
        <v>3.71216E-14</v>
      </c>
      <c r="E273" s="66">
        <v>2.4000000000000001E-4</v>
      </c>
      <c r="F273" s="66">
        <f>_xlfn.IFNA(INDEX('hp (pSv cm2)'!$B$2:$B$52,MATCH($C273,'hp (pSv cm2)'!$A$2:$A$52,1))+($C273-INDEX('hp (pSv cm2)'!$A$2:$A$52,MATCH($C273,'hp (pSv cm2)'!$A$2:$A$52,1)))*(INDEX('hp (pSv cm2)'!$B$2:$B$52,MATCH($C273,'hp (pSv cm2)'!$A$2:$A$52,1)+1)-INDEX('hp (pSv cm2)'!$B$2:$B$52,MATCH($C273,'hp (pSv cm2)'!$A$2:$A$52,1)))/(INDEX('hp (pSv cm2)'!$A$2:$A$52,MATCH($C273,'hp (pSv cm2)'!$A$2:$A$52,1)+1)-INDEX('hp (pSv cm2)'!$A$2:$A$52,MATCH($C273,'hp (pSv cm2)'!$A$2:$A$52,1))),$C273*'hp (pSv cm2)'!$B$2/'hp (pSv cm2)'!$A$2)</f>
        <v>1.163251</v>
      </c>
      <c r="G273" s="67">
        <f t="shared" ref="G273:G304" si="21">F273*E273</f>
        <v>2.7918024000000004E-4</v>
      </c>
      <c r="H273" s="83">
        <f>_xlfn.IFNA(0.997*(INDEX('Mass attenuation coefficients'!$B$2:$B$37,MATCH($C273,'Mass attenuation coefficients'!$A$2:$A$37,1))+($C273-INDEX('Mass attenuation coefficients'!$A$2:$A$37,MATCH($C273,'Mass attenuation coefficients'!$A$2:$A$37,1)))*(INDEX('Mass attenuation coefficients'!$B$2:$B$37,MATCH($C273,'Mass attenuation coefficients'!$A$2:$A$37,1)+1)-INDEX('Mass attenuation coefficients'!$B$2:$B$37,MATCH($C273,'Mass attenuation coefficients'!$A$2:$A$37,1)))/(INDEX('Mass attenuation coefficients'!$A$2:$A$37,MATCH($C273,'Mass attenuation coefficients'!$A$2:$A$37,1)+1)-INDEX('Mass attenuation coefficients'!$A$2:$A$37,MATCH($C273,'Mass attenuation coefficients'!$A$2:$A$37,1)))),0.997*$C273*'Mass attenuation coefficients'!$B$2/'Mass attenuation coefficients'!$A$2)</f>
        <v>0.13071682951999999</v>
      </c>
      <c r="I273" s="83">
        <f>_xlfn.IFNA(INDEX('Shultis Faw'!$C$2:$C$26,MATCH($C273,'Shultis Faw'!$A$2:$A$26,1))+($C273-INDEX('Shultis Faw'!$A$2:$A$26,MATCH($C273,'Shultis Faw'!$A$2:$A$26,1)))*(INDEX('Shultis Faw'!$C$2:$C$26,MATCH($C273,'Shultis Faw'!$A$2:$A$26,1)+1)-INDEX('Shultis Faw'!$C$2:$C$26,MATCH($C273,'Shultis Faw'!$A$2:$A$26,1)))/(INDEX('Shultis Faw'!$A$2:$A$26,MATCH($C273,'Shultis Faw'!$A$2:$A$26,1)+1)-INDEX('Shultis Faw'!$A$2:$A$26,MATCH($C273,'Shultis Faw'!$A$2:$A$26,1))),$C273*'Shultis Faw'!$C$2/'Shultis Faw'!$A$2)</f>
        <v>3.2993842</v>
      </c>
      <c r="J273" s="83">
        <f>_xlfn.IFNA(INDEX('Shultis Faw'!$D$2:$D$26,MATCH($C273,'Shultis Faw'!$A$2:$A$26,1))+($C273-INDEX('Shultis Faw'!$A$2:$A$26,MATCH($C273,'Shultis Faw'!$A$2:$A$26,1)))*(INDEX('Shultis Faw'!$D$2:$D$26,MATCH($C273,'Shultis Faw'!$A$2:$A$26,1)+1)-INDEX('Shultis Faw'!$D$2:$D$26,MATCH($C273,'Shultis Faw'!$A$2:$A$26,1)))/(INDEX('Shultis Faw'!$A$2:$A$26,MATCH($C273,'Shultis Faw'!$A$2:$A$26,1)+1)-INDEX('Shultis Faw'!$A$2:$A$26,MATCH($C273,'Shultis Faw'!$A$2:$A$26,1))),$C273*'Shultis Faw'!$D$2/'Shultis Faw'!$A$2)</f>
        <v>2.1117467999999997</v>
      </c>
      <c r="K273" s="83">
        <f>_xlfn.IFNA(INDEX('Shultis Faw'!$B$2:$B$26,MATCH($C273,'Shultis Faw'!$A$2:$A$26,1))+($C273-INDEX('Shultis Faw'!$A$2:$A$26,MATCH($C273,'Shultis Faw'!$A$2:$A$26,1)))*(INDEX('Shultis Faw'!$B$2:$B$26,MATCH($C273,'Shultis Faw'!$A$2:$A$26,1)+1)-INDEX('Shultis Faw'!$B$2:$B$26,MATCH($C273,'Shultis Faw'!$A$2:$A$26,1)))/(INDEX('Shultis Faw'!$A$2:$A$26,MATCH($C273,'Shultis Faw'!$A$2:$A$26,1)+1)-INDEX('Shultis Faw'!$A$2:$A$26,MATCH($C273,'Shultis Faw'!$A$2:$A$26,1))),$C273*'Shultis Faw'!$B$2/'Shultis Faw'!$A$2)</f>
        <v>-0.1721588</v>
      </c>
      <c r="L273" s="83">
        <f>_xlfn.IFNA(INDEX('Shultis Faw'!$E$2:$E$26,MATCH($C273,'Shultis Faw'!$A$2:$A$26,1))+($C273-INDEX('Shultis Faw'!$A$2:$A$26,MATCH($C273,'Shultis Faw'!$A$2:$A$26,1)))*(INDEX('Shultis Faw'!$E$2:$E$26,MATCH($C273,'Shultis Faw'!$A$2:$A$26,1)+1)-INDEX('Shultis Faw'!$E$2:$E$26,MATCH($C273,'Shultis Faw'!$A$2:$A$26,1)))/(INDEX('Shultis Faw'!$A$2:$A$26,MATCH($C273,'Shultis Faw'!$A$2:$A$26,1)+1)-INDEX('Shultis Faw'!$A$2:$A$26,MATCH($C273,'Shultis Faw'!$A$2:$A$26,1))),$C273*'Shultis Faw'!$E$2/'Shultis Faw'!$A$2)</f>
        <v>7.3590810000000006E-2</v>
      </c>
      <c r="M273" s="83">
        <f>_xlfn.IFNA(INDEX('Shultis Faw'!$F$2:$F$26,MATCH($C273,'Shultis Faw'!$A$2:$A$26,1))+($C273-INDEX('Shultis Faw'!$A$2:$A$26,MATCH($C273,'Shultis Faw'!$A$2:$A$26,1)))*(INDEX('Shultis Faw'!$F$2:$F$26,MATCH($C273,'Shultis Faw'!$A$2:$A$26,1)+1)-INDEX('Shultis Faw'!$F$2:$F$26,MATCH($C273,'Shultis Faw'!$A$2:$A$26,1)))/(INDEX('Shultis Faw'!$A$2:$A$26,MATCH($C273,'Shultis Faw'!$A$2:$A$26,1)+1)-INDEX('Shultis Faw'!$A$2:$A$26,MATCH($C273,'Shultis Faw'!$A$2:$A$26,1))),$C273*'Shultis Faw'!$F$2/'Shultis Faw'!$A$2)</f>
        <v>14.407171</v>
      </c>
      <c r="N273" s="83">
        <f>J273*(H273*'Externe blootstelling'!$D$23/2)^K273+L273*(TANH(((H273*'Externe blootstelling'!$D$23)/(2*M273))-2)-TANH(-2))/(1-TANH(-2))</f>
        <v>1.8810215510733825</v>
      </c>
      <c r="O273" s="83">
        <f>IF(N273=1,1+(I273-1)*H273*'Externe blootstelling'!$D$23/2,1+(I273-1)*(N273^(H273*'Externe blootstelling'!$D$23/2)-1)/(N273-1))</f>
        <v>7.3984019929082816</v>
      </c>
      <c r="P273" s="67">
        <f>G273*EXP(-H273*'Externe blootstelling'!$D$23/2)*O273</f>
        <v>2.9072249359833922E-4</v>
      </c>
      <c r="Q273" s="68"/>
    </row>
    <row r="274" spans="1:17" x14ac:dyDescent="0.2">
      <c r="A274" s="217"/>
      <c r="B274" s="64" t="s">
        <v>104</v>
      </c>
      <c r="C274" s="66">
        <v>0.23699999999999999</v>
      </c>
      <c r="D274" s="66">
        <f t="shared" si="20"/>
        <v>3.7919999999999998E-14</v>
      </c>
      <c r="E274" s="66">
        <v>6.0000000000000002E-5</v>
      </c>
      <c r="F274" s="66">
        <f>_xlfn.IFNA(INDEX('hp (pSv cm2)'!$B$2:$B$52,MATCH($C274,'hp (pSv cm2)'!$A$2:$A$52,1))+($C274-INDEX('hp (pSv cm2)'!$A$2:$A$52,MATCH($C274,'hp (pSv cm2)'!$A$2:$A$52,1)))*(INDEX('hp (pSv cm2)'!$B$2:$B$52,MATCH($C274,'hp (pSv cm2)'!$A$2:$A$52,1)+1)-INDEX('hp (pSv cm2)'!$B$2:$B$52,MATCH($C274,'hp (pSv cm2)'!$A$2:$A$52,1)))/(INDEX('hp (pSv cm2)'!$A$2:$A$52,MATCH($C274,'hp (pSv cm2)'!$A$2:$A$52,1)+1)-INDEX('hp (pSv cm2)'!$A$2:$A$52,MATCH($C274,'hp (pSv cm2)'!$A$2:$A$52,1))),$C274*'hp (pSv cm2)'!$B$2/'hp (pSv cm2)'!$A$2)</f>
        <v>1.1886999999999999</v>
      </c>
      <c r="G274" s="67">
        <f t="shared" si="21"/>
        <v>7.1321999999999992E-5</v>
      </c>
      <c r="H274" s="83">
        <f>_xlfn.IFNA(0.997*(INDEX('Mass attenuation coefficients'!$B$2:$B$37,MATCH($C274,'Mass attenuation coefficients'!$A$2:$A$37,1))+($C274-INDEX('Mass attenuation coefficients'!$A$2:$A$37,MATCH($C274,'Mass attenuation coefficients'!$A$2:$A$37,1)))*(INDEX('Mass attenuation coefficients'!$B$2:$B$37,MATCH($C274,'Mass attenuation coefficients'!$A$2:$A$37,1)+1)-INDEX('Mass attenuation coefficients'!$B$2:$B$37,MATCH($C274,'Mass attenuation coefficients'!$A$2:$A$37,1)))/(INDEX('Mass attenuation coefficients'!$A$2:$A$37,MATCH($C274,'Mass attenuation coefficients'!$A$2:$A$37,1)+1)-INDEX('Mass attenuation coefficients'!$A$2:$A$37,MATCH($C274,'Mass attenuation coefficients'!$A$2:$A$37,1)))),0.997*$C274*'Mass attenuation coefficients'!$B$2/'Mass attenuation coefficients'!$A$2)</f>
        <v>0.129801424</v>
      </c>
      <c r="I274" s="83">
        <f>_xlfn.IFNA(INDEX('Shultis Faw'!$C$2:$C$26,MATCH($C274,'Shultis Faw'!$A$2:$A$26,1))+($C274-INDEX('Shultis Faw'!$A$2:$A$26,MATCH($C274,'Shultis Faw'!$A$2:$A$26,1)))*(INDEX('Shultis Faw'!$C$2:$C$26,MATCH($C274,'Shultis Faw'!$A$2:$A$26,1)+1)-INDEX('Shultis Faw'!$C$2:$C$26,MATCH($C274,'Shultis Faw'!$A$2:$A$26,1)))/(INDEX('Shultis Faw'!$A$2:$A$26,MATCH($C274,'Shultis Faw'!$A$2:$A$26,1)+1)-INDEX('Shultis Faw'!$A$2:$A$26,MATCH($C274,'Shultis Faw'!$A$2:$A$26,1))),$C274*'Shultis Faw'!$C$2/'Shultis Faw'!$A$2)</f>
        <v>3.2715400000000003</v>
      </c>
      <c r="J274" s="83">
        <f>_xlfn.IFNA(INDEX('Shultis Faw'!$D$2:$D$26,MATCH($C274,'Shultis Faw'!$A$2:$A$26,1))+($C274-INDEX('Shultis Faw'!$A$2:$A$26,MATCH($C274,'Shultis Faw'!$A$2:$A$26,1)))*(INDEX('Shultis Faw'!$D$2:$D$26,MATCH($C274,'Shultis Faw'!$A$2:$A$26,1)+1)-INDEX('Shultis Faw'!$D$2:$D$26,MATCH($C274,'Shultis Faw'!$A$2:$A$26,1)))/(INDEX('Shultis Faw'!$A$2:$A$26,MATCH($C274,'Shultis Faw'!$A$2:$A$26,1)+1)-INDEX('Shultis Faw'!$A$2:$A$26,MATCH($C274,'Shultis Faw'!$A$2:$A$26,1))),$C274*'Shultis Faw'!$D$2/'Shultis Faw'!$A$2)</f>
        <v>2.1051599999999997</v>
      </c>
      <c r="K274" s="83">
        <f>_xlfn.IFNA(INDEX('Shultis Faw'!$B$2:$B$26,MATCH($C274,'Shultis Faw'!$A$2:$A$26,1))+($C274-INDEX('Shultis Faw'!$A$2:$A$26,MATCH($C274,'Shultis Faw'!$A$2:$A$26,1)))*(INDEX('Shultis Faw'!$B$2:$B$26,MATCH($C274,'Shultis Faw'!$A$2:$A$26,1)+1)-INDEX('Shultis Faw'!$B$2:$B$26,MATCH($C274,'Shultis Faw'!$A$2:$A$26,1)))/(INDEX('Shultis Faw'!$A$2:$A$26,MATCH($C274,'Shultis Faw'!$A$2:$A$26,1)+1)-INDEX('Shultis Faw'!$A$2:$A$26,MATCH($C274,'Shultis Faw'!$A$2:$A$26,1))),$C274*'Shultis Faw'!$B$2/'Shultis Faw'!$A$2)</f>
        <v>-0.17155999999999999</v>
      </c>
      <c r="L274" s="83">
        <f>_xlfn.IFNA(INDEX('Shultis Faw'!$E$2:$E$26,MATCH($C274,'Shultis Faw'!$A$2:$A$26,1))+($C274-INDEX('Shultis Faw'!$A$2:$A$26,MATCH($C274,'Shultis Faw'!$A$2:$A$26,1)))*(INDEX('Shultis Faw'!$E$2:$E$26,MATCH($C274,'Shultis Faw'!$A$2:$A$26,1)+1)-INDEX('Shultis Faw'!$E$2:$E$26,MATCH($C274,'Shultis Faw'!$A$2:$A$26,1)))/(INDEX('Shultis Faw'!$A$2:$A$26,MATCH($C274,'Shultis Faw'!$A$2:$A$26,1)+1)-INDEX('Shultis Faw'!$A$2:$A$26,MATCH($C274,'Shultis Faw'!$A$2:$A$26,1))),$C274*'Shultis Faw'!$E$2/'Shultis Faw'!$A$2)</f>
        <v>7.2997000000000006E-2</v>
      </c>
      <c r="M274" s="83">
        <f>_xlfn.IFNA(INDEX('Shultis Faw'!$F$2:$F$26,MATCH($C274,'Shultis Faw'!$A$2:$A$26,1))+($C274-INDEX('Shultis Faw'!$A$2:$A$26,MATCH($C274,'Shultis Faw'!$A$2:$A$26,1)))*(INDEX('Shultis Faw'!$F$2:$F$26,MATCH($C274,'Shultis Faw'!$A$2:$A$26,1)+1)-INDEX('Shultis Faw'!$F$2:$F$26,MATCH($C274,'Shultis Faw'!$A$2:$A$26,1)))/(INDEX('Shultis Faw'!$A$2:$A$26,MATCH($C274,'Shultis Faw'!$A$2:$A$26,1)+1)-INDEX('Shultis Faw'!$A$2:$A$26,MATCH($C274,'Shultis Faw'!$A$2:$A$26,1))),$C274*'Shultis Faw'!$F$2/'Shultis Faw'!$A$2)</f>
        <v>14.3927</v>
      </c>
      <c r="N274" s="83">
        <f>J274*(H274*'Externe blootstelling'!$D$23/2)^K274+L274*(TANH(((H274*'Externe blootstelling'!$D$23)/(2*M274))-2)-TANH(-2))/(1-TANH(-2))</f>
        <v>1.8781681887632833</v>
      </c>
      <c r="O274" s="83">
        <f>IF(N274=1,1+(I274-1)*H274*'Externe blootstelling'!$D$23/2,1+(I274-1)*(N274^(H274*'Externe blootstelling'!$D$23/2)-1)/(N274-1))</f>
        <v>7.2382155401123729</v>
      </c>
      <c r="P274" s="67">
        <f>G274*EXP(-H274*'Externe blootstelling'!$D$23/2)*O274</f>
        <v>7.3667238766803527E-5</v>
      </c>
      <c r="Q274" s="68"/>
    </row>
    <row r="275" spans="1:17" x14ac:dyDescent="0.2">
      <c r="A275" s="217"/>
      <c r="B275" s="64" t="s">
        <v>104</v>
      </c>
      <c r="C275" s="66">
        <v>0.2479288</v>
      </c>
      <c r="D275" s="66">
        <f t="shared" si="20"/>
        <v>3.9668608000000001E-14</v>
      </c>
      <c r="E275" s="66">
        <v>6.8900000000000003E-2</v>
      </c>
      <c r="F275" s="66">
        <f>_xlfn.IFNA(INDEX('hp (pSv cm2)'!$B$2:$B$52,MATCH($C275,'hp (pSv cm2)'!$A$2:$A$52,1))+($C275-INDEX('hp (pSv cm2)'!$A$2:$A$52,MATCH($C275,'hp (pSv cm2)'!$A$2:$A$52,1)))*(INDEX('hp (pSv cm2)'!$B$2:$B$52,MATCH($C275,'hp (pSv cm2)'!$A$2:$A$52,1)+1)-INDEX('hp (pSv cm2)'!$B$2:$B$52,MATCH($C275,'hp (pSv cm2)'!$A$2:$A$52,1)))/(INDEX('hp (pSv cm2)'!$A$2:$A$52,MATCH($C275,'hp (pSv cm2)'!$A$2:$A$52,1)+1)-INDEX('hp (pSv cm2)'!$A$2:$A$52,MATCH($C275,'hp (pSv cm2)'!$A$2:$A$52,1))),$C275*'hp (pSv cm2)'!$B$2/'hp (pSv cm2)'!$A$2)</f>
        <v>1.2444368800000001</v>
      </c>
      <c r="G275" s="67">
        <f t="shared" si="21"/>
        <v>8.5741701032000003E-2</v>
      </c>
      <c r="H275" s="83">
        <f>_xlfn.IFNA(0.997*(INDEX('Mass attenuation coefficients'!$B$2:$B$37,MATCH($C275,'Mass attenuation coefficients'!$A$2:$A$37,1))+($C275-INDEX('Mass attenuation coefficients'!$A$2:$A$37,MATCH($C275,'Mass attenuation coefficients'!$A$2:$A$37,1)))*(INDEX('Mass attenuation coefficients'!$B$2:$B$37,MATCH($C275,'Mass attenuation coefficients'!$A$2:$A$37,1)+1)-INDEX('Mass attenuation coefficients'!$B$2:$B$37,MATCH($C275,'Mass attenuation coefficients'!$A$2:$A$37,1)))/(INDEX('Mass attenuation coefficients'!$A$2:$A$37,MATCH($C275,'Mass attenuation coefficients'!$A$2:$A$37,1)+1)-INDEX('Mass attenuation coefficients'!$A$2:$A$37,MATCH($C275,'Mass attenuation coefficients'!$A$2:$A$37,1)))),0.997*$C275*'Mass attenuation coefficients'!$B$2/'Mass attenuation coefficients'!$A$2)</f>
        <v>0.12779655749759999</v>
      </c>
      <c r="I275" s="83">
        <f>_xlfn.IFNA(INDEX('Shultis Faw'!$C$2:$C$26,MATCH($C275,'Shultis Faw'!$A$2:$A$26,1))+($C275-INDEX('Shultis Faw'!$A$2:$A$26,MATCH($C275,'Shultis Faw'!$A$2:$A$26,1)))*(INDEX('Shultis Faw'!$C$2:$C$26,MATCH($C275,'Shultis Faw'!$A$2:$A$26,1)+1)-INDEX('Shultis Faw'!$C$2:$C$26,MATCH($C275,'Shultis Faw'!$A$2:$A$26,1)))/(INDEX('Shultis Faw'!$A$2:$A$26,MATCH($C275,'Shultis Faw'!$A$2:$A$26,1)+1)-INDEX('Shultis Faw'!$A$2:$A$26,MATCH($C275,'Shultis Faw'!$A$2:$A$26,1))),$C275*'Shultis Faw'!$C$2/'Shultis Faw'!$A$2)</f>
        <v>3.2105572960000002</v>
      </c>
      <c r="J275" s="83">
        <f>_xlfn.IFNA(INDEX('Shultis Faw'!$D$2:$D$26,MATCH($C275,'Shultis Faw'!$A$2:$A$26,1))+($C275-INDEX('Shultis Faw'!$A$2:$A$26,MATCH($C275,'Shultis Faw'!$A$2:$A$26,1)))*(INDEX('Shultis Faw'!$D$2:$D$26,MATCH($C275,'Shultis Faw'!$A$2:$A$26,1)+1)-INDEX('Shultis Faw'!$D$2:$D$26,MATCH($C275,'Shultis Faw'!$A$2:$A$26,1)))/(INDEX('Shultis Faw'!$A$2:$A$26,MATCH($C275,'Shultis Faw'!$A$2:$A$26,1)+1)-INDEX('Shultis Faw'!$A$2:$A$26,MATCH($C275,'Shultis Faw'!$A$2:$A$26,1))),$C275*'Shultis Faw'!$D$2/'Shultis Faw'!$A$2)</f>
        <v>2.0907339839999999</v>
      </c>
      <c r="K275" s="83">
        <f>_xlfn.IFNA(INDEX('Shultis Faw'!$B$2:$B$26,MATCH($C275,'Shultis Faw'!$A$2:$A$26,1))+($C275-INDEX('Shultis Faw'!$A$2:$A$26,MATCH($C275,'Shultis Faw'!$A$2:$A$26,1)))*(INDEX('Shultis Faw'!$B$2:$B$26,MATCH($C275,'Shultis Faw'!$A$2:$A$26,1)+1)-INDEX('Shultis Faw'!$B$2:$B$26,MATCH($C275,'Shultis Faw'!$A$2:$A$26,1)))/(INDEX('Shultis Faw'!$A$2:$A$26,MATCH($C275,'Shultis Faw'!$A$2:$A$26,1)+1)-INDEX('Shultis Faw'!$A$2:$A$26,MATCH($C275,'Shultis Faw'!$A$2:$A$26,1))),$C275*'Shultis Faw'!$B$2/'Shultis Faw'!$A$2)</f>
        <v>-0.170248544</v>
      </c>
      <c r="L275" s="83">
        <f>_xlfn.IFNA(INDEX('Shultis Faw'!$E$2:$E$26,MATCH($C275,'Shultis Faw'!$A$2:$A$26,1))+($C275-INDEX('Shultis Faw'!$A$2:$A$26,MATCH($C275,'Shultis Faw'!$A$2:$A$26,1)))*(INDEX('Shultis Faw'!$E$2:$E$26,MATCH($C275,'Shultis Faw'!$A$2:$A$26,1)+1)-INDEX('Shultis Faw'!$E$2:$E$26,MATCH($C275,'Shultis Faw'!$A$2:$A$26,1)))/(INDEX('Shultis Faw'!$A$2:$A$26,MATCH($C275,'Shultis Faw'!$A$2:$A$26,1)+1)-INDEX('Shultis Faw'!$A$2:$A$26,MATCH($C275,'Shultis Faw'!$A$2:$A$26,1))),$C275*'Shultis Faw'!$E$2/'Shultis Faw'!$A$2)</f>
        <v>7.1696472799999994E-2</v>
      </c>
      <c r="M275" s="83">
        <f>_xlfn.IFNA(INDEX('Shultis Faw'!$F$2:$F$26,MATCH($C275,'Shultis Faw'!$A$2:$A$26,1))+($C275-INDEX('Shultis Faw'!$A$2:$A$26,MATCH($C275,'Shultis Faw'!$A$2:$A$26,1)))*(INDEX('Shultis Faw'!$F$2:$F$26,MATCH($C275,'Shultis Faw'!$A$2:$A$26,1)+1)-INDEX('Shultis Faw'!$F$2:$F$26,MATCH($C275,'Shultis Faw'!$A$2:$A$26,1)))/(INDEX('Shultis Faw'!$A$2:$A$26,MATCH($C275,'Shultis Faw'!$A$2:$A$26,1)+1)-INDEX('Shultis Faw'!$A$2:$A$26,MATCH($C275,'Shultis Faw'!$A$2:$A$26,1))),$C275*'Shultis Faw'!$F$2/'Shultis Faw'!$A$2)</f>
        <v>14.36100648</v>
      </c>
      <c r="N275" s="83">
        <f>J275*(H275*'Externe blootstelling'!$D$23/2)^K275+L275*(TANH(((H275*'Externe blootstelling'!$D$23)/(2*M275))-2)-TANH(-2))/(1-TANH(-2))</f>
        <v>1.8718706122706914</v>
      </c>
      <c r="O275" s="83">
        <f>IF(N275=1,1+(I275-1)*H275*'Externe blootstelling'!$D$23/2,1+(I275-1)*(N275^(H275*'Externe blootstelling'!$D$23/2)-1)/(N275-1))</f>
        <v>6.8977040391259496</v>
      </c>
      <c r="P275" s="67">
        <f>G275*EXP(-H275*'Externe blootstelling'!$D$23/2)*O275</f>
        <v>8.6971418892895919E-2</v>
      </c>
      <c r="Q275" s="68"/>
    </row>
    <row r="276" spans="1:17" x14ac:dyDescent="0.2">
      <c r="A276" s="217"/>
      <c r="B276" s="64" t="s">
        <v>104</v>
      </c>
      <c r="C276" s="66">
        <v>0.26089999999999997</v>
      </c>
      <c r="D276" s="66">
        <f t="shared" si="20"/>
        <v>4.1743999999999994E-14</v>
      </c>
      <c r="E276" s="66">
        <v>2.2000000000000003E-5</v>
      </c>
      <c r="F276" s="66">
        <f>_xlfn.IFNA(INDEX('hp (pSv cm2)'!$B$2:$B$52,MATCH($C276,'hp (pSv cm2)'!$A$2:$A$52,1))+($C276-INDEX('hp (pSv cm2)'!$A$2:$A$52,MATCH($C276,'hp (pSv cm2)'!$A$2:$A$52,1)))*(INDEX('hp (pSv cm2)'!$B$2:$B$52,MATCH($C276,'hp (pSv cm2)'!$A$2:$A$52,1)+1)-INDEX('hp (pSv cm2)'!$B$2:$B$52,MATCH($C276,'hp (pSv cm2)'!$A$2:$A$52,1)))/(INDEX('hp (pSv cm2)'!$A$2:$A$52,MATCH($C276,'hp (pSv cm2)'!$A$2:$A$52,1)+1)-INDEX('hp (pSv cm2)'!$A$2:$A$52,MATCH($C276,'hp (pSv cm2)'!$A$2:$A$52,1))),$C276*'hp (pSv cm2)'!$B$2/'hp (pSv cm2)'!$A$2)</f>
        <v>1.3105899999999999</v>
      </c>
      <c r="G276" s="67">
        <f t="shared" si="21"/>
        <v>2.8832980000000002E-5</v>
      </c>
      <c r="H276" s="83">
        <f>_xlfn.IFNA(0.997*(INDEX('Mass attenuation coefficients'!$B$2:$B$37,MATCH($C276,'Mass attenuation coefficients'!$A$2:$A$37,1))+($C276-INDEX('Mass attenuation coefficients'!$A$2:$A$37,MATCH($C276,'Mass attenuation coefficients'!$A$2:$A$37,1)))*(INDEX('Mass attenuation coefficients'!$B$2:$B$37,MATCH($C276,'Mass attenuation coefficients'!$A$2:$A$37,1)+1)-INDEX('Mass attenuation coefficients'!$B$2:$B$37,MATCH($C276,'Mass attenuation coefficients'!$A$2:$A$37,1)))/(INDEX('Mass attenuation coefficients'!$A$2:$A$37,MATCH($C276,'Mass attenuation coefficients'!$A$2:$A$37,1)+1)-INDEX('Mass attenuation coefficients'!$A$2:$A$37,MATCH($C276,'Mass attenuation coefficients'!$A$2:$A$37,1)))),0.997*$C276*'Mass attenuation coefficients'!$B$2/'Mass attenuation coefficients'!$A$2)</f>
        <v>0.1254170168</v>
      </c>
      <c r="I276" s="83">
        <f>_xlfn.IFNA(INDEX('Shultis Faw'!$C$2:$C$26,MATCH($C276,'Shultis Faw'!$A$2:$A$26,1))+($C276-INDEX('Shultis Faw'!$A$2:$A$26,MATCH($C276,'Shultis Faw'!$A$2:$A$26,1)))*(INDEX('Shultis Faw'!$C$2:$C$26,MATCH($C276,'Shultis Faw'!$A$2:$A$26,1)+1)-INDEX('Shultis Faw'!$C$2:$C$26,MATCH($C276,'Shultis Faw'!$A$2:$A$26,1)))/(INDEX('Shultis Faw'!$A$2:$A$26,MATCH($C276,'Shultis Faw'!$A$2:$A$26,1)+1)-INDEX('Shultis Faw'!$A$2:$A$26,MATCH($C276,'Shultis Faw'!$A$2:$A$26,1))),$C276*'Shultis Faw'!$C$2/'Shultis Faw'!$A$2)</f>
        <v>3.1381780000000004</v>
      </c>
      <c r="J276" s="83">
        <f>_xlfn.IFNA(INDEX('Shultis Faw'!$D$2:$D$26,MATCH($C276,'Shultis Faw'!$A$2:$A$26,1))+($C276-INDEX('Shultis Faw'!$A$2:$A$26,MATCH($C276,'Shultis Faw'!$A$2:$A$26,1)))*(INDEX('Shultis Faw'!$D$2:$D$26,MATCH($C276,'Shultis Faw'!$A$2:$A$26,1)+1)-INDEX('Shultis Faw'!$D$2:$D$26,MATCH($C276,'Shultis Faw'!$A$2:$A$26,1)))/(INDEX('Shultis Faw'!$A$2:$A$26,MATCH($C276,'Shultis Faw'!$A$2:$A$26,1)+1)-INDEX('Shultis Faw'!$A$2:$A$26,MATCH($C276,'Shultis Faw'!$A$2:$A$26,1))),$C276*'Shultis Faw'!$D$2/'Shultis Faw'!$A$2)</f>
        <v>2.0736119999999998</v>
      </c>
      <c r="K276" s="83">
        <f>_xlfn.IFNA(INDEX('Shultis Faw'!$B$2:$B$26,MATCH($C276,'Shultis Faw'!$A$2:$A$26,1))+($C276-INDEX('Shultis Faw'!$A$2:$A$26,MATCH($C276,'Shultis Faw'!$A$2:$A$26,1)))*(INDEX('Shultis Faw'!$B$2:$B$26,MATCH($C276,'Shultis Faw'!$A$2:$A$26,1)+1)-INDEX('Shultis Faw'!$B$2:$B$26,MATCH($C276,'Shultis Faw'!$A$2:$A$26,1)))/(INDEX('Shultis Faw'!$A$2:$A$26,MATCH($C276,'Shultis Faw'!$A$2:$A$26,1)+1)-INDEX('Shultis Faw'!$A$2:$A$26,MATCH($C276,'Shultis Faw'!$A$2:$A$26,1))),$C276*'Shultis Faw'!$B$2/'Shultis Faw'!$A$2)</f>
        <v>-0.16869200000000001</v>
      </c>
      <c r="L276" s="83">
        <f>_xlfn.IFNA(INDEX('Shultis Faw'!$E$2:$E$26,MATCH($C276,'Shultis Faw'!$A$2:$A$26,1))+($C276-INDEX('Shultis Faw'!$A$2:$A$26,MATCH($C276,'Shultis Faw'!$A$2:$A$26,1)))*(INDEX('Shultis Faw'!$E$2:$E$26,MATCH($C276,'Shultis Faw'!$A$2:$A$26,1)+1)-INDEX('Shultis Faw'!$E$2:$E$26,MATCH($C276,'Shultis Faw'!$A$2:$A$26,1)))/(INDEX('Shultis Faw'!$A$2:$A$26,MATCH($C276,'Shultis Faw'!$A$2:$A$26,1)+1)-INDEX('Shultis Faw'!$A$2:$A$26,MATCH($C276,'Shultis Faw'!$A$2:$A$26,1))),$C276*'Shultis Faw'!$E$2/'Shultis Faw'!$A$2)</f>
        <v>7.0152900000000004E-2</v>
      </c>
      <c r="M276" s="83">
        <f>_xlfn.IFNA(INDEX('Shultis Faw'!$F$2:$F$26,MATCH($C276,'Shultis Faw'!$A$2:$A$26,1))+($C276-INDEX('Shultis Faw'!$A$2:$A$26,MATCH($C276,'Shultis Faw'!$A$2:$A$26,1)))*(INDEX('Shultis Faw'!$F$2:$F$26,MATCH($C276,'Shultis Faw'!$A$2:$A$26,1)+1)-INDEX('Shultis Faw'!$F$2:$F$26,MATCH($C276,'Shultis Faw'!$A$2:$A$26,1)))/(INDEX('Shultis Faw'!$A$2:$A$26,MATCH($C276,'Shultis Faw'!$A$2:$A$26,1)+1)-INDEX('Shultis Faw'!$A$2:$A$26,MATCH($C276,'Shultis Faw'!$A$2:$A$26,1))),$C276*'Shultis Faw'!$F$2/'Shultis Faw'!$A$2)</f>
        <v>14.32339</v>
      </c>
      <c r="N276" s="83">
        <f>J276*(H276*'Externe blootstelling'!$D$23/2)^K276+L276*(TANH(((H276*'Externe blootstelling'!$D$23)/(2*M276))-2)-TANH(-2))/(1-TANH(-2))</f>
        <v>1.8643102975348969</v>
      </c>
      <c r="O276" s="83">
        <f>IF(N276=1,1+(I276-1)*H276*'Externe blootstelling'!$D$23/2,1+(I276-1)*(N276^(H276*'Externe blootstelling'!$D$23/2)-1)/(N276-1))</f>
        <v>6.5113849900685672</v>
      </c>
      <c r="P276" s="67">
        <f>G276*EXP(-H276*'Externe blootstelling'!$D$23/2)*O276</f>
        <v>2.8611730770829094E-5</v>
      </c>
      <c r="Q276" s="68"/>
    </row>
    <row r="277" spans="1:17" x14ac:dyDescent="0.2">
      <c r="A277" s="217"/>
      <c r="B277" s="64" t="s">
        <v>104</v>
      </c>
      <c r="C277" s="66">
        <v>0.26744000000000001</v>
      </c>
      <c r="D277" s="66">
        <f t="shared" si="20"/>
        <v>4.2790399999999997E-14</v>
      </c>
      <c r="E277" s="66">
        <v>1.36E-4</v>
      </c>
      <c r="F277" s="66">
        <f>_xlfn.IFNA(INDEX('hp (pSv cm2)'!$B$2:$B$52,MATCH($C277,'hp (pSv cm2)'!$A$2:$A$52,1))+($C277-INDEX('hp (pSv cm2)'!$A$2:$A$52,MATCH($C277,'hp (pSv cm2)'!$A$2:$A$52,1)))*(INDEX('hp (pSv cm2)'!$B$2:$B$52,MATCH($C277,'hp (pSv cm2)'!$A$2:$A$52,1)+1)-INDEX('hp (pSv cm2)'!$B$2:$B$52,MATCH($C277,'hp (pSv cm2)'!$A$2:$A$52,1)))/(INDEX('hp (pSv cm2)'!$A$2:$A$52,MATCH($C277,'hp (pSv cm2)'!$A$2:$A$52,1)+1)-INDEX('hp (pSv cm2)'!$A$2:$A$52,MATCH($C277,'hp (pSv cm2)'!$A$2:$A$52,1))),$C277*'hp (pSv cm2)'!$B$2/'hp (pSv cm2)'!$A$2)</f>
        <v>1.343944</v>
      </c>
      <c r="G277" s="67">
        <f t="shared" si="21"/>
        <v>1.8277638400000001E-4</v>
      </c>
      <c r="H277" s="83">
        <f>_xlfn.IFNA(0.997*(INDEX('Mass attenuation coefficients'!$B$2:$B$37,MATCH($C277,'Mass attenuation coefficients'!$A$2:$A$37,1))+($C277-INDEX('Mass attenuation coefficients'!$A$2:$A$37,MATCH($C277,'Mass attenuation coefficients'!$A$2:$A$37,1)))*(INDEX('Mass attenuation coefficients'!$B$2:$B$37,MATCH($C277,'Mass attenuation coefficients'!$A$2:$A$37,1)+1)-INDEX('Mass attenuation coefficients'!$B$2:$B$37,MATCH($C277,'Mass attenuation coefficients'!$A$2:$A$37,1)))/(INDEX('Mass attenuation coefficients'!$A$2:$A$37,MATCH($C277,'Mass attenuation coefficients'!$A$2:$A$37,1)+1)-INDEX('Mass attenuation coefficients'!$A$2:$A$37,MATCH($C277,'Mass attenuation coefficients'!$A$2:$A$37,1)))),0.997*$C277*'Mass attenuation coefficients'!$B$2/'Mass attenuation coefficients'!$A$2)</f>
        <v>0.12421726688</v>
      </c>
      <c r="I277" s="83">
        <f>_xlfn.IFNA(INDEX('Shultis Faw'!$C$2:$C$26,MATCH($C277,'Shultis Faw'!$A$2:$A$26,1))+($C277-INDEX('Shultis Faw'!$A$2:$A$26,MATCH($C277,'Shultis Faw'!$A$2:$A$26,1)))*(INDEX('Shultis Faw'!$C$2:$C$26,MATCH($C277,'Shultis Faw'!$A$2:$A$26,1)+1)-INDEX('Shultis Faw'!$C$2:$C$26,MATCH($C277,'Shultis Faw'!$A$2:$A$26,1)))/(INDEX('Shultis Faw'!$A$2:$A$26,MATCH($C277,'Shultis Faw'!$A$2:$A$26,1)+1)-INDEX('Shultis Faw'!$A$2:$A$26,MATCH($C277,'Shultis Faw'!$A$2:$A$26,1))),$C277*'Shultis Faw'!$C$2/'Shultis Faw'!$A$2)</f>
        <v>3.1016848000000001</v>
      </c>
      <c r="J277" s="83">
        <f>_xlfn.IFNA(INDEX('Shultis Faw'!$D$2:$D$26,MATCH($C277,'Shultis Faw'!$A$2:$A$26,1))+($C277-INDEX('Shultis Faw'!$A$2:$A$26,MATCH($C277,'Shultis Faw'!$A$2:$A$26,1)))*(INDEX('Shultis Faw'!$D$2:$D$26,MATCH($C277,'Shultis Faw'!$A$2:$A$26,1)+1)-INDEX('Shultis Faw'!$D$2:$D$26,MATCH($C277,'Shultis Faw'!$A$2:$A$26,1)))/(INDEX('Shultis Faw'!$A$2:$A$26,MATCH($C277,'Shultis Faw'!$A$2:$A$26,1)+1)-INDEX('Shultis Faw'!$A$2:$A$26,MATCH($C277,'Shultis Faw'!$A$2:$A$26,1))),$C277*'Shultis Faw'!$D$2/'Shultis Faw'!$A$2)</f>
        <v>2.0649791999999998</v>
      </c>
      <c r="K277" s="83">
        <f>_xlfn.IFNA(INDEX('Shultis Faw'!$B$2:$B$26,MATCH($C277,'Shultis Faw'!$A$2:$A$26,1))+($C277-INDEX('Shultis Faw'!$A$2:$A$26,MATCH($C277,'Shultis Faw'!$A$2:$A$26,1)))*(INDEX('Shultis Faw'!$B$2:$B$26,MATCH($C277,'Shultis Faw'!$A$2:$A$26,1)+1)-INDEX('Shultis Faw'!$B$2:$B$26,MATCH($C277,'Shultis Faw'!$A$2:$A$26,1)))/(INDEX('Shultis Faw'!$A$2:$A$26,MATCH($C277,'Shultis Faw'!$A$2:$A$26,1)+1)-INDEX('Shultis Faw'!$A$2:$A$26,MATCH($C277,'Shultis Faw'!$A$2:$A$26,1))),$C277*'Shultis Faw'!$B$2/'Shultis Faw'!$A$2)</f>
        <v>-0.16790720000000001</v>
      </c>
      <c r="L277" s="83">
        <f>_xlfn.IFNA(INDEX('Shultis Faw'!$E$2:$E$26,MATCH($C277,'Shultis Faw'!$A$2:$A$26,1))+($C277-INDEX('Shultis Faw'!$A$2:$A$26,MATCH($C277,'Shultis Faw'!$A$2:$A$26,1)))*(INDEX('Shultis Faw'!$E$2:$E$26,MATCH($C277,'Shultis Faw'!$A$2:$A$26,1)+1)-INDEX('Shultis Faw'!$E$2:$E$26,MATCH($C277,'Shultis Faw'!$A$2:$A$26,1)))/(INDEX('Shultis Faw'!$A$2:$A$26,MATCH($C277,'Shultis Faw'!$A$2:$A$26,1)+1)-INDEX('Shultis Faw'!$A$2:$A$26,MATCH($C277,'Shultis Faw'!$A$2:$A$26,1))),$C277*'Shultis Faw'!$E$2/'Shultis Faw'!$A$2)</f>
        <v>6.9374640000000001E-2</v>
      </c>
      <c r="M277" s="83">
        <f>_xlfn.IFNA(INDEX('Shultis Faw'!$F$2:$F$26,MATCH($C277,'Shultis Faw'!$A$2:$A$26,1))+($C277-INDEX('Shultis Faw'!$A$2:$A$26,MATCH($C277,'Shultis Faw'!$A$2:$A$26,1)))*(INDEX('Shultis Faw'!$F$2:$F$26,MATCH($C277,'Shultis Faw'!$A$2:$A$26,1)+1)-INDEX('Shultis Faw'!$F$2:$F$26,MATCH($C277,'Shultis Faw'!$A$2:$A$26,1)))/(INDEX('Shultis Faw'!$A$2:$A$26,MATCH($C277,'Shultis Faw'!$A$2:$A$26,1)+1)-INDEX('Shultis Faw'!$A$2:$A$26,MATCH($C277,'Shultis Faw'!$A$2:$A$26,1))),$C277*'Shultis Faw'!$F$2/'Shultis Faw'!$A$2)</f>
        <v>14.304424000000001</v>
      </c>
      <c r="N277" s="83">
        <f>J277*(H277*'Externe blootstelling'!$D$23/2)^K277+L277*(TANH(((H277*'Externe blootstelling'!$D$23)/(2*M277))-2)-TANH(-2))/(1-TANH(-2))</f>
        <v>1.8604632275731106</v>
      </c>
      <c r="O277" s="83">
        <f>IF(N277=1,1+(I277-1)*H277*'Externe blootstelling'!$D$23/2,1+(I277-1)*(N277^(H277*'Externe blootstelling'!$D$23/2)-1)/(N277-1))</f>
        <v>6.3237072080548984</v>
      </c>
      <c r="P277" s="67">
        <f>G277*EXP(-H277*'Externe blootstelling'!$D$23/2)*O277</f>
        <v>1.7934477612402964E-4</v>
      </c>
      <c r="Q277" s="68"/>
    </row>
    <row r="278" spans="1:17" x14ac:dyDescent="0.2">
      <c r="A278" s="217"/>
      <c r="B278" s="64" t="s">
        <v>104</v>
      </c>
      <c r="C278" s="66">
        <v>0.26979999999999998</v>
      </c>
      <c r="D278" s="66">
        <f t="shared" si="20"/>
        <v>4.3167999999999995E-14</v>
      </c>
      <c r="E278" s="66">
        <v>7.0000000000000007E-5</v>
      </c>
      <c r="F278" s="66">
        <f>_xlfn.IFNA(INDEX('hp (pSv cm2)'!$B$2:$B$52,MATCH($C278,'hp (pSv cm2)'!$A$2:$A$52,1))+($C278-INDEX('hp (pSv cm2)'!$A$2:$A$52,MATCH($C278,'hp (pSv cm2)'!$A$2:$A$52,1)))*(INDEX('hp (pSv cm2)'!$B$2:$B$52,MATCH($C278,'hp (pSv cm2)'!$A$2:$A$52,1)+1)-INDEX('hp (pSv cm2)'!$B$2:$B$52,MATCH($C278,'hp (pSv cm2)'!$A$2:$A$52,1)))/(INDEX('hp (pSv cm2)'!$A$2:$A$52,MATCH($C278,'hp (pSv cm2)'!$A$2:$A$52,1)+1)-INDEX('hp (pSv cm2)'!$A$2:$A$52,MATCH($C278,'hp (pSv cm2)'!$A$2:$A$52,1))),$C278*'hp (pSv cm2)'!$B$2/'hp (pSv cm2)'!$A$2)</f>
        <v>1.35598</v>
      </c>
      <c r="G278" s="67">
        <f t="shared" si="21"/>
        <v>9.4918600000000003E-5</v>
      </c>
      <c r="H278" s="83">
        <f>_xlfn.IFNA(0.997*(INDEX('Mass attenuation coefficients'!$B$2:$B$37,MATCH($C278,'Mass attenuation coefficients'!$A$2:$A$37,1))+($C278-INDEX('Mass attenuation coefficients'!$A$2:$A$37,MATCH($C278,'Mass attenuation coefficients'!$A$2:$A$37,1)))*(INDEX('Mass attenuation coefficients'!$B$2:$B$37,MATCH($C278,'Mass attenuation coefficients'!$A$2:$A$37,1)+1)-INDEX('Mass attenuation coefficients'!$B$2:$B$37,MATCH($C278,'Mass attenuation coefficients'!$A$2:$A$37,1)))/(INDEX('Mass attenuation coefficients'!$A$2:$A$37,MATCH($C278,'Mass attenuation coefficients'!$A$2:$A$37,1)+1)-INDEX('Mass attenuation coefficients'!$A$2:$A$37,MATCH($C278,'Mass attenuation coefficients'!$A$2:$A$37,1)))),0.997*$C278*'Mass attenuation coefficients'!$B$2/'Mass attenuation coefficients'!$A$2)</f>
        <v>0.12378432959999999</v>
      </c>
      <c r="I278" s="83">
        <f>_xlfn.IFNA(INDEX('Shultis Faw'!$C$2:$C$26,MATCH($C278,'Shultis Faw'!$A$2:$A$26,1))+($C278-INDEX('Shultis Faw'!$A$2:$A$26,MATCH($C278,'Shultis Faw'!$A$2:$A$26,1)))*(INDEX('Shultis Faw'!$C$2:$C$26,MATCH($C278,'Shultis Faw'!$A$2:$A$26,1)+1)-INDEX('Shultis Faw'!$C$2:$C$26,MATCH($C278,'Shultis Faw'!$A$2:$A$26,1)))/(INDEX('Shultis Faw'!$A$2:$A$26,MATCH($C278,'Shultis Faw'!$A$2:$A$26,1)+1)-INDEX('Shultis Faw'!$A$2:$A$26,MATCH($C278,'Shultis Faw'!$A$2:$A$26,1))),$C278*'Shultis Faw'!$C$2/'Shultis Faw'!$A$2)</f>
        <v>3.0885160000000003</v>
      </c>
      <c r="J278" s="83">
        <f>_xlfn.IFNA(INDEX('Shultis Faw'!$D$2:$D$26,MATCH($C278,'Shultis Faw'!$A$2:$A$26,1))+($C278-INDEX('Shultis Faw'!$A$2:$A$26,MATCH($C278,'Shultis Faw'!$A$2:$A$26,1)))*(INDEX('Shultis Faw'!$D$2:$D$26,MATCH($C278,'Shultis Faw'!$A$2:$A$26,1)+1)-INDEX('Shultis Faw'!$D$2:$D$26,MATCH($C278,'Shultis Faw'!$A$2:$A$26,1)))/(INDEX('Shultis Faw'!$A$2:$A$26,MATCH($C278,'Shultis Faw'!$A$2:$A$26,1)+1)-INDEX('Shultis Faw'!$A$2:$A$26,MATCH($C278,'Shultis Faw'!$A$2:$A$26,1))),$C278*'Shultis Faw'!$D$2/'Shultis Faw'!$A$2)</f>
        <v>2.0618639999999999</v>
      </c>
      <c r="K278" s="83">
        <f>_xlfn.IFNA(INDEX('Shultis Faw'!$B$2:$B$26,MATCH($C278,'Shultis Faw'!$A$2:$A$26,1))+($C278-INDEX('Shultis Faw'!$A$2:$A$26,MATCH($C278,'Shultis Faw'!$A$2:$A$26,1)))*(INDEX('Shultis Faw'!$B$2:$B$26,MATCH($C278,'Shultis Faw'!$A$2:$A$26,1)+1)-INDEX('Shultis Faw'!$B$2:$B$26,MATCH($C278,'Shultis Faw'!$A$2:$A$26,1)))/(INDEX('Shultis Faw'!$A$2:$A$26,MATCH($C278,'Shultis Faw'!$A$2:$A$26,1)+1)-INDEX('Shultis Faw'!$A$2:$A$26,MATCH($C278,'Shultis Faw'!$A$2:$A$26,1))),$C278*'Shultis Faw'!$B$2/'Shultis Faw'!$A$2)</f>
        <v>-0.167624</v>
      </c>
      <c r="L278" s="83">
        <f>_xlfn.IFNA(INDEX('Shultis Faw'!$E$2:$E$26,MATCH($C278,'Shultis Faw'!$A$2:$A$26,1))+($C278-INDEX('Shultis Faw'!$A$2:$A$26,MATCH($C278,'Shultis Faw'!$A$2:$A$26,1)))*(INDEX('Shultis Faw'!$E$2:$E$26,MATCH($C278,'Shultis Faw'!$A$2:$A$26,1)+1)-INDEX('Shultis Faw'!$E$2:$E$26,MATCH($C278,'Shultis Faw'!$A$2:$A$26,1)))/(INDEX('Shultis Faw'!$A$2:$A$26,MATCH($C278,'Shultis Faw'!$A$2:$A$26,1)+1)-INDEX('Shultis Faw'!$A$2:$A$26,MATCH($C278,'Shultis Faw'!$A$2:$A$26,1))),$C278*'Shultis Faw'!$E$2/'Shultis Faw'!$A$2)</f>
        <v>6.9093799999999997E-2</v>
      </c>
      <c r="M278" s="83">
        <f>_xlfn.IFNA(INDEX('Shultis Faw'!$F$2:$F$26,MATCH($C278,'Shultis Faw'!$A$2:$A$26,1))+($C278-INDEX('Shultis Faw'!$A$2:$A$26,MATCH($C278,'Shultis Faw'!$A$2:$A$26,1)))*(INDEX('Shultis Faw'!$F$2:$F$26,MATCH($C278,'Shultis Faw'!$A$2:$A$26,1)+1)-INDEX('Shultis Faw'!$F$2:$F$26,MATCH($C278,'Shultis Faw'!$A$2:$A$26,1)))/(INDEX('Shultis Faw'!$A$2:$A$26,MATCH($C278,'Shultis Faw'!$A$2:$A$26,1)+1)-INDEX('Shultis Faw'!$A$2:$A$26,MATCH($C278,'Shultis Faw'!$A$2:$A$26,1))),$C278*'Shultis Faw'!$F$2/'Shultis Faw'!$A$2)</f>
        <v>14.29758</v>
      </c>
      <c r="N278" s="83">
        <f>J278*(H278*'Externe blootstelling'!$D$23/2)^K278+L278*(TANH(((H278*'Externe blootstelling'!$D$23)/(2*M278))-2)-TANH(-2))/(1-TANH(-2))</f>
        <v>1.8590692093166106</v>
      </c>
      <c r="O278" s="83">
        <f>IF(N278=1,1+(I278-1)*H278*'Externe blootstelling'!$D$23/2,1+(I278-1)*(N278^(H278*'Externe blootstelling'!$D$23/2)-1)/(N278-1))</f>
        <v>6.257124300775696</v>
      </c>
      <c r="P278" s="67">
        <f>G278*EXP(-H278*'Externe blootstelling'!$D$23/2)*O278</f>
        <v>9.2756283042332754E-5</v>
      </c>
      <c r="Q278" s="68"/>
    </row>
    <row r="279" spans="1:17" x14ac:dyDescent="0.2">
      <c r="A279" s="217"/>
      <c r="B279" s="64" t="s">
        <v>104</v>
      </c>
      <c r="C279" s="66">
        <v>0.27400000000000002</v>
      </c>
      <c r="D279" s="66">
        <f t="shared" si="20"/>
        <v>4.3839999999999999E-14</v>
      </c>
      <c r="E279" s="66">
        <v>3.8999999999999999E-5</v>
      </c>
      <c r="F279" s="66">
        <f>_xlfn.IFNA(INDEX('hp (pSv cm2)'!$B$2:$B$52,MATCH($C279,'hp (pSv cm2)'!$A$2:$A$52,1))+($C279-INDEX('hp (pSv cm2)'!$A$2:$A$52,MATCH($C279,'hp (pSv cm2)'!$A$2:$A$52,1)))*(INDEX('hp (pSv cm2)'!$B$2:$B$52,MATCH($C279,'hp (pSv cm2)'!$A$2:$A$52,1)+1)-INDEX('hp (pSv cm2)'!$B$2:$B$52,MATCH($C279,'hp (pSv cm2)'!$A$2:$A$52,1)))/(INDEX('hp (pSv cm2)'!$A$2:$A$52,MATCH($C279,'hp (pSv cm2)'!$A$2:$A$52,1)+1)-INDEX('hp (pSv cm2)'!$A$2:$A$52,MATCH($C279,'hp (pSv cm2)'!$A$2:$A$52,1))),$C279*'hp (pSv cm2)'!$B$2/'hp (pSv cm2)'!$A$2)</f>
        <v>1.3774000000000002</v>
      </c>
      <c r="G279" s="67">
        <f t="shared" si="21"/>
        <v>5.3718600000000004E-5</v>
      </c>
      <c r="H279" s="83">
        <f>_xlfn.IFNA(0.997*(INDEX('Mass attenuation coefficients'!$B$2:$B$37,MATCH($C279,'Mass attenuation coefficients'!$A$2:$A$37,1))+($C279-INDEX('Mass attenuation coefficients'!$A$2:$A$37,MATCH($C279,'Mass attenuation coefficients'!$A$2:$A$37,1)))*(INDEX('Mass attenuation coefficients'!$B$2:$B$37,MATCH($C279,'Mass attenuation coefficients'!$A$2:$A$37,1)+1)-INDEX('Mass attenuation coefficients'!$B$2:$B$37,MATCH($C279,'Mass attenuation coefficients'!$A$2:$A$37,1)))/(INDEX('Mass attenuation coefficients'!$A$2:$A$37,MATCH($C279,'Mass attenuation coefficients'!$A$2:$A$37,1)+1)-INDEX('Mass attenuation coefficients'!$A$2:$A$37,MATCH($C279,'Mass attenuation coefficients'!$A$2:$A$37,1)))),0.997*$C279*'Mass attenuation coefficients'!$B$2/'Mass attenuation coefficients'!$A$2)</f>
        <v>0.123013848</v>
      </c>
      <c r="I279" s="83">
        <f>_xlfn.IFNA(INDEX('Shultis Faw'!$C$2:$C$26,MATCH($C279,'Shultis Faw'!$A$2:$A$26,1))+($C279-INDEX('Shultis Faw'!$A$2:$A$26,MATCH($C279,'Shultis Faw'!$A$2:$A$26,1)))*(INDEX('Shultis Faw'!$C$2:$C$26,MATCH($C279,'Shultis Faw'!$A$2:$A$26,1)+1)-INDEX('Shultis Faw'!$C$2:$C$26,MATCH($C279,'Shultis Faw'!$A$2:$A$26,1)))/(INDEX('Shultis Faw'!$A$2:$A$26,MATCH($C279,'Shultis Faw'!$A$2:$A$26,1)+1)-INDEX('Shultis Faw'!$A$2:$A$26,MATCH($C279,'Shultis Faw'!$A$2:$A$26,1))),$C279*'Shultis Faw'!$C$2/'Shultis Faw'!$A$2)</f>
        <v>3.06508</v>
      </c>
      <c r="J279" s="83">
        <f>_xlfn.IFNA(INDEX('Shultis Faw'!$D$2:$D$26,MATCH($C279,'Shultis Faw'!$A$2:$A$26,1))+($C279-INDEX('Shultis Faw'!$A$2:$A$26,MATCH($C279,'Shultis Faw'!$A$2:$A$26,1)))*(INDEX('Shultis Faw'!$D$2:$D$26,MATCH($C279,'Shultis Faw'!$A$2:$A$26,1)+1)-INDEX('Shultis Faw'!$D$2:$D$26,MATCH($C279,'Shultis Faw'!$A$2:$A$26,1)))/(INDEX('Shultis Faw'!$A$2:$A$26,MATCH($C279,'Shultis Faw'!$A$2:$A$26,1)+1)-INDEX('Shultis Faw'!$A$2:$A$26,MATCH($C279,'Shultis Faw'!$A$2:$A$26,1))),$C279*'Shultis Faw'!$D$2/'Shultis Faw'!$A$2)</f>
        <v>2.0563199999999999</v>
      </c>
      <c r="K279" s="83">
        <f>_xlfn.IFNA(INDEX('Shultis Faw'!$B$2:$B$26,MATCH($C279,'Shultis Faw'!$A$2:$A$26,1))+($C279-INDEX('Shultis Faw'!$A$2:$A$26,MATCH($C279,'Shultis Faw'!$A$2:$A$26,1)))*(INDEX('Shultis Faw'!$B$2:$B$26,MATCH($C279,'Shultis Faw'!$A$2:$A$26,1)+1)-INDEX('Shultis Faw'!$B$2:$B$26,MATCH($C279,'Shultis Faw'!$A$2:$A$26,1)))/(INDEX('Shultis Faw'!$A$2:$A$26,MATCH($C279,'Shultis Faw'!$A$2:$A$26,1)+1)-INDEX('Shultis Faw'!$A$2:$A$26,MATCH($C279,'Shultis Faw'!$A$2:$A$26,1))),$C279*'Shultis Faw'!$B$2/'Shultis Faw'!$A$2)</f>
        <v>-0.16711999999999999</v>
      </c>
      <c r="L279" s="83">
        <f>_xlfn.IFNA(INDEX('Shultis Faw'!$E$2:$E$26,MATCH($C279,'Shultis Faw'!$A$2:$A$26,1))+($C279-INDEX('Shultis Faw'!$A$2:$A$26,MATCH($C279,'Shultis Faw'!$A$2:$A$26,1)))*(INDEX('Shultis Faw'!$E$2:$E$26,MATCH($C279,'Shultis Faw'!$A$2:$A$26,1)+1)-INDEX('Shultis Faw'!$E$2:$E$26,MATCH($C279,'Shultis Faw'!$A$2:$A$26,1)))/(INDEX('Shultis Faw'!$A$2:$A$26,MATCH($C279,'Shultis Faw'!$A$2:$A$26,1)+1)-INDEX('Shultis Faw'!$A$2:$A$26,MATCH($C279,'Shultis Faw'!$A$2:$A$26,1))),$C279*'Shultis Faw'!$E$2/'Shultis Faw'!$A$2)</f>
        <v>6.8594000000000002E-2</v>
      </c>
      <c r="M279" s="83">
        <f>_xlfn.IFNA(INDEX('Shultis Faw'!$F$2:$F$26,MATCH($C279,'Shultis Faw'!$A$2:$A$26,1))+($C279-INDEX('Shultis Faw'!$A$2:$A$26,MATCH($C279,'Shultis Faw'!$A$2:$A$26,1)))*(INDEX('Shultis Faw'!$F$2:$F$26,MATCH($C279,'Shultis Faw'!$A$2:$A$26,1)+1)-INDEX('Shultis Faw'!$F$2:$F$26,MATCH($C279,'Shultis Faw'!$A$2:$A$26,1)))/(INDEX('Shultis Faw'!$A$2:$A$26,MATCH($C279,'Shultis Faw'!$A$2:$A$26,1)+1)-INDEX('Shultis Faw'!$A$2:$A$26,MATCH($C279,'Shultis Faw'!$A$2:$A$26,1))),$C279*'Shultis Faw'!$F$2/'Shultis Faw'!$A$2)</f>
        <v>14.285400000000001</v>
      </c>
      <c r="N279" s="83">
        <f>J279*(H279*'Externe blootstelling'!$D$23/2)^K279+L279*(TANH(((H279*'Externe blootstelling'!$D$23)/(2*M279))-2)-TANH(-2))/(1-TANH(-2))</f>
        <v>1.8565807622839889</v>
      </c>
      <c r="O279" s="83">
        <f>IF(N279=1,1+(I279-1)*H279*'Externe blootstelling'!$D$23/2,1+(I279-1)*(N279^(H279*'Externe blootstelling'!$D$23/2)-1)/(N279-1))</f>
        <v>6.1401061180759209</v>
      </c>
      <c r="P279" s="67">
        <f>G279*EXP(-H279*'Externe blootstelling'!$D$23/2)*O279</f>
        <v>5.2111914891177611E-5</v>
      </c>
      <c r="Q279" s="68"/>
    </row>
    <row r="280" spans="1:17" x14ac:dyDescent="0.2">
      <c r="A280" s="217"/>
      <c r="B280" s="64" t="s">
        <v>104</v>
      </c>
      <c r="C280" s="66">
        <v>0.27989999999999998</v>
      </c>
      <c r="D280" s="66">
        <f t="shared" si="20"/>
        <v>4.4783999999999999E-14</v>
      </c>
      <c r="E280" s="66">
        <v>3.0000000000000001E-5</v>
      </c>
      <c r="F280" s="66">
        <f>_xlfn.IFNA(INDEX('hp (pSv cm2)'!$B$2:$B$52,MATCH($C280,'hp (pSv cm2)'!$A$2:$A$52,1))+($C280-INDEX('hp (pSv cm2)'!$A$2:$A$52,MATCH($C280,'hp (pSv cm2)'!$A$2:$A$52,1)))*(INDEX('hp (pSv cm2)'!$B$2:$B$52,MATCH($C280,'hp (pSv cm2)'!$A$2:$A$52,1)+1)-INDEX('hp (pSv cm2)'!$B$2:$B$52,MATCH($C280,'hp (pSv cm2)'!$A$2:$A$52,1)))/(INDEX('hp (pSv cm2)'!$A$2:$A$52,MATCH($C280,'hp (pSv cm2)'!$A$2:$A$52,1)+1)-INDEX('hp (pSv cm2)'!$A$2:$A$52,MATCH($C280,'hp (pSv cm2)'!$A$2:$A$52,1))),$C280*'hp (pSv cm2)'!$B$2/'hp (pSv cm2)'!$A$2)</f>
        <v>1.4074899999999999</v>
      </c>
      <c r="G280" s="67">
        <f t="shared" si="21"/>
        <v>4.2224699999999996E-5</v>
      </c>
      <c r="H280" s="83">
        <f>_xlfn.IFNA(0.997*(INDEX('Mass attenuation coefficients'!$B$2:$B$37,MATCH($C280,'Mass attenuation coefficients'!$A$2:$A$37,1))+($C280-INDEX('Mass attenuation coefficients'!$A$2:$A$37,MATCH($C280,'Mass attenuation coefficients'!$A$2:$A$37,1)))*(INDEX('Mass attenuation coefficients'!$B$2:$B$37,MATCH($C280,'Mass attenuation coefficients'!$A$2:$A$37,1)+1)-INDEX('Mass attenuation coefficients'!$B$2:$B$37,MATCH($C280,'Mass attenuation coefficients'!$A$2:$A$37,1)))/(INDEX('Mass attenuation coefficients'!$A$2:$A$37,MATCH($C280,'Mass attenuation coefficients'!$A$2:$A$37,1)+1)-INDEX('Mass attenuation coefficients'!$A$2:$A$37,MATCH($C280,'Mass attenuation coefficients'!$A$2:$A$37,1)))),0.997*$C280*'Mass attenuation coefficients'!$B$2/'Mass attenuation coefficients'!$A$2)</f>
        <v>0.12193150480000001</v>
      </c>
      <c r="I280" s="83">
        <f>_xlfn.IFNA(INDEX('Shultis Faw'!$C$2:$C$26,MATCH($C280,'Shultis Faw'!$A$2:$A$26,1))+($C280-INDEX('Shultis Faw'!$A$2:$A$26,MATCH($C280,'Shultis Faw'!$A$2:$A$26,1)))*(INDEX('Shultis Faw'!$C$2:$C$26,MATCH($C280,'Shultis Faw'!$A$2:$A$26,1)+1)-INDEX('Shultis Faw'!$C$2:$C$26,MATCH($C280,'Shultis Faw'!$A$2:$A$26,1)))/(INDEX('Shultis Faw'!$A$2:$A$26,MATCH($C280,'Shultis Faw'!$A$2:$A$26,1)+1)-INDEX('Shultis Faw'!$A$2:$A$26,MATCH($C280,'Shultis Faw'!$A$2:$A$26,1))),$C280*'Shultis Faw'!$C$2/'Shultis Faw'!$A$2)</f>
        <v>3.0321579999999999</v>
      </c>
      <c r="J280" s="83">
        <f>_xlfn.IFNA(INDEX('Shultis Faw'!$D$2:$D$26,MATCH($C280,'Shultis Faw'!$A$2:$A$26,1))+($C280-INDEX('Shultis Faw'!$A$2:$A$26,MATCH($C280,'Shultis Faw'!$A$2:$A$26,1)))*(INDEX('Shultis Faw'!$D$2:$D$26,MATCH($C280,'Shultis Faw'!$A$2:$A$26,1)+1)-INDEX('Shultis Faw'!$D$2:$D$26,MATCH($C280,'Shultis Faw'!$A$2:$A$26,1)))/(INDEX('Shultis Faw'!$A$2:$A$26,MATCH($C280,'Shultis Faw'!$A$2:$A$26,1)+1)-INDEX('Shultis Faw'!$A$2:$A$26,MATCH($C280,'Shultis Faw'!$A$2:$A$26,1))),$C280*'Shultis Faw'!$D$2/'Shultis Faw'!$A$2)</f>
        <v>2.0485319999999998</v>
      </c>
      <c r="K280" s="83">
        <f>_xlfn.IFNA(INDEX('Shultis Faw'!$B$2:$B$26,MATCH($C280,'Shultis Faw'!$A$2:$A$26,1))+($C280-INDEX('Shultis Faw'!$A$2:$A$26,MATCH($C280,'Shultis Faw'!$A$2:$A$26,1)))*(INDEX('Shultis Faw'!$B$2:$B$26,MATCH($C280,'Shultis Faw'!$A$2:$A$26,1)+1)-INDEX('Shultis Faw'!$B$2:$B$26,MATCH($C280,'Shultis Faw'!$A$2:$A$26,1)))/(INDEX('Shultis Faw'!$A$2:$A$26,MATCH($C280,'Shultis Faw'!$A$2:$A$26,1)+1)-INDEX('Shultis Faw'!$A$2:$A$26,MATCH($C280,'Shultis Faw'!$A$2:$A$26,1))),$C280*'Shultis Faw'!$B$2/'Shultis Faw'!$A$2)</f>
        <v>-0.166412</v>
      </c>
      <c r="L280" s="83">
        <f>_xlfn.IFNA(INDEX('Shultis Faw'!$E$2:$E$26,MATCH($C280,'Shultis Faw'!$A$2:$A$26,1))+($C280-INDEX('Shultis Faw'!$A$2:$A$26,MATCH($C280,'Shultis Faw'!$A$2:$A$26,1)))*(INDEX('Shultis Faw'!$E$2:$E$26,MATCH($C280,'Shultis Faw'!$A$2:$A$26,1)+1)-INDEX('Shultis Faw'!$E$2:$E$26,MATCH($C280,'Shultis Faw'!$A$2:$A$26,1)))/(INDEX('Shultis Faw'!$A$2:$A$26,MATCH($C280,'Shultis Faw'!$A$2:$A$26,1)+1)-INDEX('Shultis Faw'!$A$2:$A$26,MATCH($C280,'Shultis Faw'!$A$2:$A$26,1))),$C280*'Shultis Faw'!$E$2/'Shultis Faw'!$A$2)</f>
        <v>6.7891900000000005E-2</v>
      </c>
      <c r="M280" s="83">
        <f>_xlfn.IFNA(INDEX('Shultis Faw'!$F$2:$F$26,MATCH($C280,'Shultis Faw'!$A$2:$A$26,1))+($C280-INDEX('Shultis Faw'!$A$2:$A$26,MATCH($C280,'Shultis Faw'!$A$2:$A$26,1)))*(INDEX('Shultis Faw'!$F$2:$F$26,MATCH($C280,'Shultis Faw'!$A$2:$A$26,1)+1)-INDEX('Shultis Faw'!$F$2:$F$26,MATCH($C280,'Shultis Faw'!$A$2:$A$26,1)))/(INDEX('Shultis Faw'!$A$2:$A$26,MATCH($C280,'Shultis Faw'!$A$2:$A$26,1)+1)-INDEX('Shultis Faw'!$A$2:$A$26,MATCH($C280,'Shultis Faw'!$A$2:$A$26,1))),$C280*'Shultis Faw'!$F$2/'Shultis Faw'!$A$2)</f>
        <v>14.26829</v>
      </c>
      <c r="N280" s="83">
        <f>J280*(H280*'Externe blootstelling'!$D$23/2)^K280+L280*(TANH(((H280*'Externe blootstelling'!$D$23)/(2*M280))-2)-TANH(-2))/(1-TANH(-2))</f>
        <v>1.853068749479108</v>
      </c>
      <c r="O280" s="83">
        <f>IF(N280=1,1+(I280-1)*H280*'Externe blootstelling'!$D$23/2,1+(I280-1)*(N280^(H280*'Externe blootstelling'!$D$23/2)-1)/(N280-1))</f>
        <v>5.9788751326001313</v>
      </c>
      <c r="P280" s="67">
        <f>G280*EXP(-H280*'Externe blootstelling'!$D$23/2)*O280</f>
        <v>4.0539030708346869E-5</v>
      </c>
      <c r="Q280" s="68"/>
    </row>
    <row r="281" spans="1:17" x14ac:dyDescent="0.2">
      <c r="A281" s="217"/>
      <c r="B281" s="64" t="s">
        <v>104</v>
      </c>
      <c r="C281" s="66">
        <v>0.28999999999999998</v>
      </c>
      <c r="D281" s="66">
        <f t="shared" si="20"/>
        <v>4.6399999999999997E-14</v>
      </c>
      <c r="E281" s="66">
        <v>3.3000000000000003E-5</v>
      </c>
      <c r="F281" s="66">
        <f>_xlfn.IFNA(INDEX('hp (pSv cm2)'!$B$2:$B$52,MATCH($C281,'hp (pSv cm2)'!$A$2:$A$52,1))+($C281-INDEX('hp (pSv cm2)'!$A$2:$A$52,MATCH($C281,'hp (pSv cm2)'!$A$2:$A$52,1)))*(INDEX('hp (pSv cm2)'!$B$2:$B$52,MATCH($C281,'hp (pSv cm2)'!$A$2:$A$52,1)+1)-INDEX('hp (pSv cm2)'!$B$2:$B$52,MATCH($C281,'hp (pSv cm2)'!$A$2:$A$52,1)))/(INDEX('hp (pSv cm2)'!$A$2:$A$52,MATCH($C281,'hp (pSv cm2)'!$A$2:$A$52,1)+1)-INDEX('hp (pSv cm2)'!$A$2:$A$52,MATCH($C281,'hp (pSv cm2)'!$A$2:$A$52,1))),$C281*'hp (pSv cm2)'!$B$2/'hp (pSv cm2)'!$A$2)</f>
        <v>1.4589999999999999</v>
      </c>
      <c r="G281" s="67">
        <f t="shared" si="21"/>
        <v>4.8146999999999998E-5</v>
      </c>
      <c r="H281" s="83">
        <f>_xlfn.IFNA(0.997*(INDEX('Mass attenuation coefficients'!$B$2:$B$37,MATCH($C281,'Mass attenuation coefficients'!$A$2:$A$37,1))+($C281-INDEX('Mass attenuation coefficients'!$A$2:$A$37,MATCH($C281,'Mass attenuation coefficients'!$A$2:$A$37,1)))*(INDEX('Mass attenuation coefficients'!$B$2:$B$37,MATCH($C281,'Mass attenuation coefficients'!$A$2:$A$37,1)+1)-INDEX('Mass attenuation coefficients'!$B$2:$B$37,MATCH($C281,'Mass attenuation coefficients'!$A$2:$A$37,1)))/(INDEX('Mass attenuation coefficients'!$A$2:$A$37,MATCH($C281,'Mass attenuation coefficients'!$A$2:$A$37,1)+1)-INDEX('Mass attenuation coefficients'!$A$2:$A$37,MATCH($C281,'Mass attenuation coefficients'!$A$2:$A$37,1)))),0.997*$C281*'Mass attenuation coefficients'!$B$2/'Mass attenuation coefficients'!$A$2)</f>
        <v>0.12007868000000001</v>
      </c>
      <c r="I281" s="83">
        <f>_xlfn.IFNA(INDEX('Shultis Faw'!$C$2:$C$26,MATCH($C281,'Shultis Faw'!$A$2:$A$26,1))+($C281-INDEX('Shultis Faw'!$A$2:$A$26,MATCH($C281,'Shultis Faw'!$A$2:$A$26,1)))*(INDEX('Shultis Faw'!$C$2:$C$26,MATCH($C281,'Shultis Faw'!$A$2:$A$26,1)+1)-INDEX('Shultis Faw'!$C$2:$C$26,MATCH($C281,'Shultis Faw'!$A$2:$A$26,1)))/(INDEX('Shultis Faw'!$A$2:$A$26,MATCH($C281,'Shultis Faw'!$A$2:$A$26,1)+1)-INDEX('Shultis Faw'!$A$2:$A$26,MATCH($C281,'Shultis Faw'!$A$2:$A$26,1))),$C281*'Shultis Faw'!$C$2/'Shultis Faw'!$A$2)</f>
        <v>2.9758</v>
      </c>
      <c r="J281" s="83">
        <f>_xlfn.IFNA(INDEX('Shultis Faw'!$D$2:$D$26,MATCH($C281,'Shultis Faw'!$A$2:$A$26,1))+($C281-INDEX('Shultis Faw'!$A$2:$A$26,MATCH($C281,'Shultis Faw'!$A$2:$A$26,1)))*(INDEX('Shultis Faw'!$D$2:$D$26,MATCH($C281,'Shultis Faw'!$A$2:$A$26,1)+1)-INDEX('Shultis Faw'!$D$2:$D$26,MATCH($C281,'Shultis Faw'!$A$2:$A$26,1)))/(INDEX('Shultis Faw'!$A$2:$A$26,MATCH($C281,'Shultis Faw'!$A$2:$A$26,1)+1)-INDEX('Shultis Faw'!$A$2:$A$26,MATCH($C281,'Shultis Faw'!$A$2:$A$26,1))),$C281*'Shultis Faw'!$D$2/'Shultis Faw'!$A$2)</f>
        <v>2.0351999999999997</v>
      </c>
      <c r="K281" s="83">
        <f>_xlfn.IFNA(INDEX('Shultis Faw'!$B$2:$B$26,MATCH($C281,'Shultis Faw'!$A$2:$A$26,1))+($C281-INDEX('Shultis Faw'!$A$2:$A$26,MATCH($C281,'Shultis Faw'!$A$2:$A$26,1)))*(INDEX('Shultis Faw'!$B$2:$B$26,MATCH($C281,'Shultis Faw'!$A$2:$A$26,1)+1)-INDEX('Shultis Faw'!$B$2:$B$26,MATCH($C281,'Shultis Faw'!$A$2:$A$26,1)))/(INDEX('Shultis Faw'!$A$2:$A$26,MATCH($C281,'Shultis Faw'!$A$2:$A$26,1)+1)-INDEX('Shultis Faw'!$A$2:$A$26,MATCH($C281,'Shultis Faw'!$A$2:$A$26,1))),$C281*'Shultis Faw'!$B$2/'Shultis Faw'!$A$2)</f>
        <v>-0.16520000000000001</v>
      </c>
      <c r="L281" s="83">
        <f>_xlfn.IFNA(INDEX('Shultis Faw'!$E$2:$E$26,MATCH($C281,'Shultis Faw'!$A$2:$A$26,1))+($C281-INDEX('Shultis Faw'!$A$2:$A$26,MATCH($C281,'Shultis Faw'!$A$2:$A$26,1)))*(INDEX('Shultis Faw'!$E$2:$E$26,MATCH($C281,'Shultis Faw'!$A$2:$A$26,1)+1)-INDEX('Shultis Faw'!$E$2:$E$26,MATCH($C281,'Shultis Faw'!$A$2:$A$26,1)))/(INDEX('Shultis Faw'!$A$2:$A$26,MATCH($C281,'Shultis Faw'!$A$2:$A$26,1)+1)-INDEX('Shultis Faw'!$A$2:$A$26,MATCH($C281,'Shultis Faw'!$A$2:$A$26,1))),$C281*'Shultis Faw'!$E$2/'Shultis Faw'!$A$2)</f>
        <v>6.6689999999999999E-2</v>
      </c>
      <c r="M281" s="83">
        <f>_xlfn.IFNA(INDEX('Shultis Faw'!$F$2:$F$26,MATCH($C281,'Shultis Faw'!$A$2:$A$26,1))+($C281-INDEX('Shultis Faw'!$A$2:$A$26,MATCH($C281,'Shultis Faw'!$A$2:$A$26,1)))*(INDEX('Shultis Faw'!$F$2:$F$26,MATCH($C281,'Shultis Faw'!$A$2:$A$26,1)+1)-INDEX('Shultis Faw'!$F$2:$F$26,MATCH($C281,'Shultis Faw'!$A$2:$A$26,1)))/(INDEX('Shultis Faw'!$A$2:$A$26,MATCH($C281,'Shultis Faw'!$A$2:$A$26,1)+1)-INDEX('Shultis Faw'!$A$2:$A$26,MATCH($C281,'Shultis Faw'!$A$2:$A$26,1))),$C281*'Shultis Faw'!$F$2/'Shultis Faw'!$A$2)</f>
        <v>14.239000000000001</v>
      </c>
      <c r="N281" s="83">
        <f>J281*(H281*'Externe blootstelling'!$D$23/2)^K281+L281*(TANH(((H281*'Externe blootstelling'!$D$23)/(2*M281))-2)-TANH(-2))/(1-TANH(-2))</f>
        <v>1.8470124904756022</v>
      </c>
      <c r="O281" s="83">
        <f>IF(N281=1,1+(I281-1)*H281*'Externe blootstelling'!$D$23/2,1+(I281-1)*(N281^(H281*'Externe blootstelling'!$D$23/2)-1)/(N281-1))</f>
        <v>5.7112335057751986</v>
      </c>
      <c r="P281" s="67">
        <f>G281*EXP(-H281*'Externe blootstelling'!$D$23/2)*O281</f>
        <v>4.5400070453018506E-5</v>
      </c>
      <c r="Q281" s="68"/>
    </row>
    <row r="282" spans="1:17" x14ac:dyDescent="0.2">
      <c r="A282" s="217"/>
      <c r="B282" s="64" t="s">
        <v>104</v>
      </c>
      <c r="C282" s="66">
        <v>0.29569999999999996</v>
      </c>
      <c r="D282" s="66">
        <f t="shared" si="20"/>
        <v>4.7311999999999989E-14</v>
      </c>
      <c r="E282" s="66">
        <v>2.3999999999999997E-5</v>
      </c>
      <c r="F282" s="66">
        <f>_xlfn.IFNA(INDEX('hp (pSv cm2)'!$B$2:$B$52,MATCH($C282,'hp (pSv cm2)'!$A$2:$A$52,1))+($C282-INDEX('hp (pSv cm2)'!$A$2:$A$52,MATCH($C282,'hp (pSv cm2)'!$A$2:$A$52,1)))*(INDEX('hp (pSv cm2)'!$B$2:$B$52,MATCH($C282,'hp (pSv cm2)'!$A$2:$A$52,1)+1)-INDEX('hp (pSv cm2)'!$B$2:$B$52,MATCH($C282,'hp (pSv cm2)'!$A$2:$A$52,1)))/(INDEX('hp (pSv cm2)'!$A$2:$A$52,MATCH($C282,'hp (pSv cm2)'!$A$2:$A$52,1)+1)-INDEX('hp (pSv cm2)'!$A$2:$A$52,MATCH($C282,'hp (pSv cm2)'!$A$2:$A$52,1))),$C282*'hp (pSv cm2)'!$B$2/'hp (pSv cm2)'!$A$2)</f>
        <v>1.4880699999999998</v>
      </c>
      <c r="G282" s="67">
        <f t="shared" si="21"/>
        <v>3.5713679999999988E-5</v>
      </c>
      <c r="H282" s="83">
        <f>_xlfn.IFNA(0.997*(INDEX('Mass attenuation coefficients'!$B$2:$B$37,MATCH($C282,'Mass attenuation coefficients'!$A$2:$A$37,1))+($C282-INDEX('Mass attenuation coefficients'!$A$2:$A$37,MATCH($C282,'Mass attenuation coefficients'!$A$2:$A$37,1)))*(INDEX('Mass attenuation coefficients'!$B$2:$B$37,MATCH($C282,'Mass attenuation coefficients'!$A$2:$A$37,1)+1)-INDEX('Mass attenuation coefficients'!$B$2:$B$37,MATCH($C282,'Mass attenuation coefficients'!$A$2:$A$37,1)))/(INDEX('Mass attenuation coefficients'!$A$2:$A$37,MATCH($C282,'Mass attenuation coefficients'!$A$2:$A$37,1)+1)-INDEX('Mass attenuation coefficients'!$A$2:$A$37,MATCH($C282,'Mass attenuation coefficients'!$A$2:$A$37,1)))),0.997*$C282*'Mass attenuation coefficients'!$B$2/'Mass attenuation coefficients'!$A$2)</f>
        <v>0.11903302640000001</v>
      </c>
      <c r="I282" s="83">
        <f>_xlfn.IFNA(INDEX('Shultis Faw'!$C$2:$C$26,MATCH($C282,'Shultis Faw'!$A$2:$A$26,1))+($C282-INDEX('Shultis Faw'!$A$2:$A$26,MATCH($C282,'Shultis Faw'!$A$2:$A$26,1)))*(INDEX('Shultis Faw'!$C$2:$C$26,MATCH($C282,'Shultis Faw'!$A$2:$A$26,1)+1)-INDEX('Shultis Faw'!$C$2:$C$26,MATCH($C282,'Shultis Faw'!$A$2:$A$26,1)))/(INDEX('Shultis Faw'!$A$2:$A$26,MATCH($C282,'Shultis Faw'!$A$2:$A$26,1)+1)-INDEX('Shultis Faw'!$A$2:$A$26,MATCH($C282,'Shultis Faw'!$A$2:$A$26,1))),$C282*'Shultis Faw'!$C$2/'Shultis Faw'!$A$2)</f>
        <v>2.943994</v>
      </c>
      <c r="J282" s="83">
        <f>_xlfn.IFNA(INDEX('Shultis Faw'!$D$2:$D$26,MATCH($C282,'Shultis Faw'!$A$2:$A$26,1))+($C282-INDEX('Shultis Faw'!$A$2:$A$26,MATCH($C282,'Shultis Faw'!$A$2:$A$26,1)))*(INDEX('Shultis Faw'!$D$2:$D$26,MATCH($C282,'Shultis Faw'!$A$2:$A$26,1)+1)-INDEX('Shultis Faw'!$D$2:$D$26,MATCH($C282,'Shultis Faw'!$A$2:$A$26,1)))/(INDEX('Shultis Faw'!$A$2:$A$26,MATCH($C282,'Shultis Faw'!$A$2:$A$26,1)+1)-INDEX('Shultis Faw'!$A$2:$A$26,MATCH($C282,'Shultis Faw'!$A$2:$A$26,1))),$C282*'Shultis Faw'!$D$2/'Shultis Faw'!$A$2)</f>
        <v>2.027676</v>
      </c>
      <c r="K282" s="83">
        <f>_xlfn.IFNA(INDEX('Shultis Faw'!$B$2:$B$26,MATCH($C282,'Shultis Faw'!$A$2:$A$26,1))+($C282-INDEX('Shultis Faw'!$A$2:$A$26,MATCH($C282,'Shultis Faw'!$A$2:$A$26,1)))*(INDEX('Shultis Faw'!$B$2:$B$26,MATCH($C282,'Shultis Faw'!$A$2:$A$26,1)+1)-INDEX('Shultis Faw'!$B$2:$B$26,MATCH($C282,'Shultis Faw'!$A$2:$A$26,1)))/(INDEX('Shultis Faw'!$A$2:$A$26,MATCH($C282,'Shultis Faw'!$A$2:$A$26,1)+1)-INDEX('Shultis Faw'!$A$2:$A$26,MATCH($C282,'Shultis Faw'!$A$2:$A$26,1))),$C282*'Shultis Faw'!$B$2/'Shultis Faw'!$A$2)</f>
        <v>-0.164516</v>
      </c>
      <c r="L282" s="83">
        <f>_xlfn.IFNA(INDEX('Shultis Faw'!$E$2:$E$26,MATCH($C282,'Shultis Faw'!$A$2:$A$26,1))+($C282-INDEX('Shultis Faw'!$A$2:$A$26,MATCH($C282,'Shultis Faw'!$A$2:$A$26,1)))*(INDEX('Shultis Faw'!$E$2:$E$26,MATCH($C282,'Shultis Faw'!$A$2:$A$26,1)+1)-INDEX('Shultis Faw'!$E$2:$E$26,MATCH($C282,'Shultis Faw'!$A$2:$A$26,1)))/(INDEX('Shultis Faw'!$A$2:$A$26,MATCH($C282,'Shultis Faw'!$A$2:$A$26,1)+1)-INDEX('Shultis Faw'!$A$2:$A$26,MATCH($C282,'Shultis Faw'!$A$2:$A$26,1))),$C282*'Shultis Faw'!$E$2/'Shultis Faw'!$A$2)</f>
        <v>6.6011700000000006E-2</v>
      </c>
      <c r="M282" s="83">
        <f>_xlfn.IFNA(INDEX('Shultis Faw'!$F$2:$F$26,MATCH($C282,'Shultis Faw'!$A$2:$A$26,1))+($C282-INDEX('Shultis Faw'!$A$2:$A$26,MATCH($C282,'Shultis Faw'!$A$2:$A$26,1)))*(INDEX('Shultis Faw'!$F$2:$F$26,MATCH($C282,'Shultis Faw'!$A$2:$A$26,1)+1)-INDEX('Shultis Faw'!$F$2:$F$26,MATCH($C282,'Shultis Faw'!$A$2:$A$26,1)))/(INDEX('Shultis Faw'!$A$2:$A$26,MATCH($C282,'Shultis Faw'!$A$2:$A$26,1)+1)-INDEX('Shultis Faw'!$A$2:$A$26,MATCH($C282,'Shultis Faw'!$A$2:$A$26,1))),$C282*'Shultis Faw'!$F$2/'Shultis Faw'!$A$2)</f>
        <v>14.222470000000001</v>
      </c>
      <c r="N282" s="83">
        <f>J282*(H282*'Externe blootstelling'!$D$23/2)^K282+L282*(TANH(((H282*'Externe blootstelling'!$D$23)/(2*M282))-2)-TANH(-2))/(1-TANH(-2))</f>
        <v>1.8435700722057506</v>
      </c>
      <c r="O282" s="83">
        <f>IF(N282=1,1+(I282-1)*H282*'Externe blootstelling'!$D$23/2,1+(I282-1)*(N282^(H282*'Externe blootstelling'!$D$23/2)-1)/(N282-1))</f>
        <v>5.564742195628849</v>
      </c>
      <c r="P282" s="67">
        <f>G282*EXP(-H282*'Externe blootstelling'!$D$23/2)*O282</f>
        <v>3.3331039177784236E-5</v>
      </c>
      <c r="Q282" s="68"/>
    </row>
    <row r="283" spans="1:17" x14ac:dyDescent="0.2">
      <c r="A283" s="217"/>
      <c r="B283" s="64" t="s">
        <v>104</v>
      </c>
      <c r="C283" s="66">
        <v>0.29599999999999999</v>
      </c>
      <c r="D283" s="66">
        <f t="shared" si="20"/>
        <v>4.736E-14</v>
      </c>
      <c r="E283" s="66">
        <v>1.4E-5</v>
      </c>
      <c r="F283" s="66">
        <f>_xlfn.IFNA(INDEX('hp (pSv cm2)'!$B$2:$B$52,MATCH($C283,'hp (pSv cm2)'!$A$2:$A$52,1))+($C283-INDEX('hp (pSv cm2)'!$A$2:$A$52,MATCH($C283,'hp (pSv cm2)'!$A$2:$A$52,1)))*(INDEX('hp (pSv cm2)'!$B$2:$B$52,MATCH($C283,'hp (pSv cm2)'!$A$2:$A$52,1)+1)-INDEX('hp (pSv cm2)'!$B$2:$B$52,MATCH($C283,'hp (pSv cm2)'!$A$2:$A$52,1)))/(INDEX('hp (pSv cm2)'!$A$2:$A$52,MATCH($C283,'hp (pSv cm2)'!$A$2:$A$52,1)+1)-INDEX('hp (pSv cm2)'!$A$2:$A$52,MATCH($C283,'hp (pSv cm2)'!$A$2:$A$52,1))),$C283*'hp (pSv cm2)'!$B$2/'hp (pSv cm2)'!$A$2)</f>
        <v>1.4896</v>
      </c>
      <c r="G283" s="67">
        <f t="shared" si="21"/>
        <v>2.0854400000000001E-5</v>
      </c>
      <c r="H283" s="83">
        <f>_xlfn.IFNA(0.997*(INDEX('Mass attenuation coefficients'!$B$2:$B$37,MATCH($C283,'Mass attenuation coefficients'!$A$2:$A$37,1))+($C283-INDEX('Mass attenuation coefficients'!$A$2:$A$37,MATCH($C283,'Mass attenuation coefficients'!$A$2:$A$37,1)))*(INDEX('Mass attenuation coefficients'!$B$2:$B$37,MATCH($C283,'Mass attenuation coefficients'!$A$2:$A$37,1)+1)-INDEX('Mass attenuation coefficients'!$B$2:$B$37,MATCH($C283,'Mass attenuation coefficients'!$A$2:$A$37,1)))/(INDEX('Mass attenuation coefficients'!$A$2:$A$37,MATCH($C283,'Mass attenuation coefficients'!$A$2:$A$37,1)+1)-INDEX('Mass attenuation coefficients'!$A$2:$A$37,MATCH($C283,'Mass attenuation coefficients'!$A$2:$A$37,1)))),0.997*$C283*'Mass attenuation coefficients'!$B$2/'Mass attenuation coefficients'!$A$2)</f>
        <v>0.11897799199999999</v>
      </c>
      <c r="I283" s="83">
        <f>_xlfn.IFNA(INDEX('Shultis Faw'!$C$2:$C$26,MATCH($C283,'Shultis Faw'!$A$2:$A$26,1))+($C283-INDEX('Shultis Faw'!$A$2:$A$26,MATCH($C283,'Shultis Faw'!$A$2:$A$26,1)))*(INDEX('Shultis Faw'!$C$2:$C$26,MATCH($C283,'Shultis Faw'!$A$2:$A$26,1)+1)-INDEX('Shultis Faw'!$C$2:$C$26,MATCH($C283,'Shultis Faw'!$A$2:$A$26,1)))/(INDEX('Shultis Faw'!$A$2:$A$26,MATCH($C283,'Shultis Faw'!$A$2:$A$26,1)+1)-INDEX('Shultis Faw'!$A$2:$A$26,MATCH($C283,'Shultis Faw'!$A$2:$A$26,1))),$C283*'Shultis Faw'!$C$2/'Shultis Faw'!$A$2)</f>
        <v>2.94232</v>
      </c>
      <c r="J283" s="83">
        <f>_xlfn.IFNA(INDEX('Shultis Faw'!$D$2:$D$26,MATCH($C283,'Shultis Faw'!$A$2:$A$26,1))+($C283-INDEX('Shultis Faw'!$A$2:$A$26,MATCH($C283,'Shultis Faw'!$A$2:$A$26,1)))*(INDEX('Shultis Faw'!$D$2:$D$26,MATCH($C283,'Shultis Faw'!$A$2:$A$26,1)+1)-INDEX('Shultis Faw'!$D$2:$D$26,MATCH($C283,'Shultis Faw'!$A$2:$A$26,1)))/(INDEX('Shultis Faw'!$A$2:$A$26,MATCH($C283,'Shultis Faw'!$A$2:$A$26,1)+1)-INDEX('Shultis Faw'!$A$2:$A$26,MATCH($C283,'Shultis Faw'!$A$2:$A$26,1))),$C283*'Shultis Faw'!$D$2/'Shultis Faw'!$A$2)</f>
        <v>2.0272799999999997</v>
      </c>
      <c r="K283" s="83">
        <f>_xlfn.IFNA(INDEX('Shultis Faw'!$B$2:$B$26,MATCH($C283,'Shultis Faw'!$A$2:$A$26,1))+($C283-INDEX('Shultis Faw'!$A$2:$A$26,MATCH($C283,'Shultis Faw'!$A$2:$A$26,1)))*(INDEX('Shultis Faw'!$B$2:$B$26,MATCH($C283,'Shultis Faw'!$A$2:$A$26,1)+1)-INDEX('Shultis Faw'!$B$2:$B$26,MATCH($C283,'Shultis Faw'!$A$2:$A$26,1)))/(INDEX('Shultis Faw'!$A$2:$A$26,MATCH($C283,'Shultis Faw'!$A$2:$A$26,1)+1)-INDEX('Shultis Faw'!$A$2:$A$26,MATCH($C283,'Shultis Faw'!$A$2:$A$26,1))),$C283*'Shultis Faw'!$B$2/'Shultis Faw'!$A$2)</f>
        <v>-0.16448000000000002</v>
      </c>
      <c r="L283" s="83">
        <f>_xlfn.IFNA(INDEX('Shultis Faw'!$E$2:$E$26,MATCH($C283,'Shultis Faw'!$A$2:$A$26,1))+($C283-INDEX('Shultis Faw'!$A$2:$A$26,MATCH($C283,'Shultis Faw'!$A$2:$A$26,1)))*(INDEX('Shultis Faw'!$E$2:$E$26,MATCH($C283,'Shultis Faw'!$A$2:$A$26,1)+1)-INDEX('Shultis Faw'!$E$2:$E$26,MATCH($C283,'Shultis Faw'!$A$2:$A$26,1)))/(INDEX('Shultis Faw'!$A$2:$A$26,MATCH($C283,'Shultis Faw'!$A$2:$A$26,1)+1)-INDEX('Shultis Faw'!$A$2:$A$26,MATCH($C283,'Shultis Faw'!$A$2:$A$26,1))),$C283*'Shultis Faw'!$E$2/'Shultis Faw'!$A$2)</f>
        <v>6.5976000000000007E-2</v>
      </c>
      <c r="M283" s="83">
        <f>_xlfn.IFNA(INDEX('Shultis Faw'!$F$2:$F$26,MATCH($C283,'Shultis Faw'!$A$2:$A$26,1))+($C283-INDEX('Shultis Faw'!$A$2:$A$26,MATCH($C283,'Shultis Faw'!$A$2:$A$26,1)))*(INDEX('Shultis Faw'!$F$2:$F$26,MATCH($C283,'Shultis Faw'!$A$2:$A$26,1)+1)-INDEX('Shultis Faw'!$F$2:$F$26,MATCH($C283,'Shultis Faw'!$A$2:$A$26,1)))/(INDEX('Shultis Faw'!$A$2:$A$26,MATCH($C283,'Shultis Faw'!$A$2:$A$26,1)+1)-INDEX('Shultis Faw'!$A$2:$A$26,MATCH($C283,'Shultis Faw'!$A$2:$A$26,1))),$C283*'Shultis Faw'!$F$2/'Shultis Faw'!$A$2)</f>
        <v>14.2216</v>
      </c>
      <c r="N283" s="83">
        <f>J283*(H283*'Externe blootstelling'!$D$23/2)^K283+L283*(TANH(((H283*'Externe blootstelling'!$D$23)/(2*M283))-2)-TANH(-2))/(1-TANH(-2))</f>
        <v>1.8433884033786558</v>
      </c>
      <c r="O283" s="83">
        <f>IF(N283=1,1+(I283-1)*H283*'Externe blootstelling'!$D$23/2,1+(I283-1)*(N283^(H283*'Externe blootstelling'!$D$23/2)-1)/(N283-1))</f>
        <v>5.5571215827495983</v>
      </c>
      <c r="P283" s="67">
        <f>G283*EXP(-H283*'Externe blootstelling'!$D$23/2)*O283</f>
        <v>1.9452495212968871E-5</v>
      </c>
      <c r="Q283" s="68"/>
    </row>
    <row r="284" spans="1:17" x14ac:dyDescent="0.2">
      <c r="A284" s="217"/>
      <c r="B284" s="64" t="s">
        <v>104</v>
      </c>
      <c r="C284" s="66">
        <v>0.30125000000000002</v>
      </c>
      <c r="D284" s="66">
        <f t="shared" si="20"/>
        <v>4.8199999999999999E-14</v>
      </c>
      <c r="E284" s="66">
        <v>1.0200000000000001E-4</v>
      </c>
      <c r="F284" s="66">
        <f>_xlfn.IFNA(INDEX('hp (pSv cm2)'!$B$2:$B$52,MATCH($C284,'hp (pSv cm2)'!$A$2:$A$52,1))+($C284-INDEX('hp (pSv cm2)'!$A$2:$A$52,MATCH($C284,'hp (pSv cm2)'!$A$2:$A$52,1)))*(INDEX('hp (pSv cm2)'!$B$2:$B$52,MATCH($C284,'hp (pSv cm2)'!$A$2:$A$52,1)+1)-INDEX('hp (pSv cm2)'!$B$2:$B$52,MATCH($C284,'hp (pSv cm2)'!$A$2:$A$52,1)))/(INDEX('hp (pSv cm2)'!$A$2:$A$52,MATCH($C284,'hp (pSv cm2)'!$A$2:$A$52,1)+1)-INDEX('hp (pSv cm2)'!$A$2:$A$52,MATCH($C284,'hp (pSv cm2)'!$A$2:$A$52,1))),$C284*'hp (pSv cm2)'!$B$2/'hp (pSv cm2)'!$A$2)</f>
        <v>1.5161250000000002</v>
      </c>
      <c r="G284" s="67">
        <f t="shared" si="21"/>
        <v>1.5464475000000004E-4</v>
      </c>
      <c r="H284" s="83">
        <f>_xlfn.IFNA(0.997*(INDEX('Mass attenuation coefficients'!$B$2:$B$37,MATCH($C284,'Mass attenuation coefficients'!$A$2:$A$37,1))+($C284-INDEX('Mass attenuation coefficients'!$A$2:$A$37,MATCH($C284,'Mass attenuation coefficients'!$A$2:$A$37,1)))*(INDEX('Mass attenuation coefficients'!$B$2:$B$37,MATCH($C284,'Mass attenuation coefficients'!$A$2:$A$37,1)+1)-INDEX('Mass attenuation coefficients'!$B$2:$B$37,MATCH($C284,'Mass attenuation coefficients'!$A$2:$A$37,1)))/(INDEX('Mass attenuation coefficients'!$A$2:$A$37,MATCH($C284,'Mass attenuation coefficients'!$A$2:$A$37,1)+1)-INDEX('Mass attenuation coefficients'!$A$2:$A$37,MATCH($C284,'Mass attenuation coefficients'!$A$2:$A$37,1)))),0.997*$C284*'Mass attenuation coefficients'!$B$2/'Mass attenuation coefficients'!$A$2)</f>
        <v>0.11808841874999999</v>
      </c>
      <c r="I284" s="83">
        <f>_xlfn.IFNA(INDEX('Shultis Faw'!$C$2:$C$26,MATCH($C284,'Shultis Faw'!$A$2:$A$26,1))+($C284-INDEX('Shultis Faw'!$A$2:$A$26,MATCH($C284,'Shultis Faw'!$A$2:$A$26,1)))*(INDEX('Shultis Faw'!$C$2:$C$26,MATCH($C284,'Shultis Faw'!$A$2:$A$26,1)+1)-INDEX('Shultis Faw'!$C$2:$C$26,MATCH($C284,'Shultis Faw'!$A$2:$A$26,1)))/(INDEX('Shultis Faw'!$A$2:$A$26,MATCH($C284,'Shultis Faw'!$A$2:$A$26,1)+1)-INDEX('Shultis Faw'!$A$2:$A$26,MATCH($C284,'Shultis Faw'!$A$2:$A$26,1))),$C284*'Shultis Faw'!$C$2/'Shultis Faw'!$A$2)</f>
        <v>2.91675</v>
      </c>
      <c r="J284" s="83">
        <f>_xlfn.IFNA(INDEX('Shultis Faw'!$D$2:$D$26,MATCH($C284,'Shultis Faw'!$A$2:$A$26,1))+($C284-INDEX('Shultis Faw'!$A$2:$A$26,MATCH($C284,'Shultis Faw'!$A$2:$A$26,1)))*(INDEX('Shultis Faw'!$D$2:$D$26,MATCH($C284,'Shultis Faw'!$A$2:$A$26,1)+1)-INDEX('Shultis Faw'!$D$2:$D$26,MATCH($C284,'Shultis Faw'!$A$2:$A$26,1)))/(INDEX('Shultis Faw'!$A$2:$A$26,MATCH($C284,'Shultis Faw'!$A$2:$A$26,1)+1)-INDEX('Shultis Faw'!$A$2:$A$26,MATCH($C284,'Shultis Faw'!$A$2:$A$26,1))),$C284*'Shultis Faw'!$D$2/'Shultis Faw'!$A$2)</f>
        <v>2.0202499999999999</v>
      </c>
      <c r="K284" s="83">
        <f>_xlfn.IFNA(INDEX('Shultis Faw'!$B$2:$B$26,MATCH($C284,'Shultis Faw'!$A$2:$A$26,1))+($C284-INDEX('Shultis Faw'!$A$2:$A$26,MATCH($C284,'Shultis Faw'!$A$2:$A$26,1)))*(INDEX('Shultis Faw'!$B$2:$B$26,MATCH($C284,'Shultis Faw'!$A$2:$A$26,1)+1)-INDEX('Shultis Faw'!$B$2:$B$26,MATCH($C284,'Shultis Faw'!$A$2:$A$26,1)))/(INDEX('Shultis Faw'!$A$2:$A$26,MATCH($C284,'Shultis Faw'!$A$2:$A$26,1)+1)-INDEX('Shultis Faw'!$A$2:$A$26,MATCH($C284,'Shultis Faw'!$A$2:$A$26,1))),$C284*'Shultis Faw'!$B$2/'Shultis Faw'!$A$2)</f>
        <v>-0.1638125</v>
      </c>
      <c r="L284" s="83">
        <f>_xlfn.IFNA(INDEX('Shultis Faw'!$E$2:$E$26,MATCH($C284,'Shultis Faw'!$A$2:$A$26,1))+($C284-INDEX('Shultis Faw'!$A$2:$A$26,MATCH($C284,'Shultis Faw'!$A$2:$A$26,1)))*(INDEX('Shultis Faw'!$E$2:$E$26,MATCH($C284,'Shultis Faw'!$A$2:$A$26,1)+1)-INDEX('Shultis Faw'!$E$2:$E$26,MATCH($C284,'Shultis Faw'!$A$2:$A$26,1)))/(INDEX('Shultis Faw'!$A$2:$A$26,MATCH($C284,'Shultis Faw'!$A$2:$A$26,1)+1)-INDEX('Shultis Faw'!$A$2:$A$26,MATCH($C284,'Shultis Faw'!$A$2:$A$26,1))),$C284*'Shultis Faw'!$E$2/'Shultis Faw'!$A$2)</f>
        <v>6.5424999999999997E-2</v>
      </c>
      <c r="M284" s="83">
        <f>_xlfn.IFNA(INDEX('Shultis Faw'!$F$2:$F$26,MATCH($C284,'Shultis Faw'!$A$2:$A$26,1))+($C284-INDEX('Shultis Faw'!$A$2:$A$26,MATCH($C284,'Shultis Faw'!$A$2:$A$26,1)))*(INDEX('Shultis Faw'!$F$2:$F$26,MATCH($C284,'Shultis Faw'!$A$2:$A$26,1)+1)-INDEX('Shultis Faw'!$F$2:$F$26,MATCH($C284,'Shultis Faw'!$A$2:$A$26,1)))/(INDEX('Shultis Faw'!$A$2:$A$26,MATCH($C284,'Shultis Faw'!$A$2:$A$26,1)+1)-INDEX('Shultis Faw'!$A$2:$A$26,MATCH($C284,'Shultis Faw'!$A$2:$A$26,1))),$C284*'Shultis Faw'!$F$2/'Shultis Faw'!$A$2)</f>
        <v>14.210375000000001</v>
      </c>
      <c r="N284" s="83">
        <f>J284*(H284*'Externe blootstelling'!$D$23/2)^K284+L284*(TANH(((H284*'Externe blootstelling'!$D$23)/(2*M284))-2)-TANH(-2))/(1-TANH(-2))</f>
        <v>1.8399624273293205</v>
      </c>
      <c r="O284" s="83">
        <f>IF(N284=1,1+(I284-1)*H284*'Externe blootstelling'!$D$23/2,1+(I284-1)*(N284^(H284*'Externe blootstelling'!$D$23/2)-1)/(N284-1))</f>
        <v>5.4380434056317766</v>
      </c>
      <c r="P284" s="67">
        <f>G284*EXP(-H284*'Externe blootstelling'!$D$23/2)*O284</f>
        <v>1.4305420262389113E-4</v>
      </c>
      <c r="Q284" s="68"/>
    </row>
    <row r="285" spans="1:17" x14ac:dyDescent="0.2">
      <c r="A285" s="217"/>
      <c r="B285" s="64" t="s">
        <v>104</v>
      </c>
      <c r="C285" s="66">
        <v>0.30510000000000004</v>
      </c>
      <c r="D285" s="66">
        <f t="shared" si="20"/>
        <v>4.8816000000000008E-14</v>
      </c>
      <c r="E285" s="66">
        <v>1.74E-4</v>
      </c>
      <c r="F285" s="66">
        <f>_xlfn.IFNA(INDEX('hp (pSv cm2)'!$B$2:$B$52,MATCH($C285,'hp (pSv cm2)'!$A$2:$A$52,1))+($C285-INDEX('hp (pSv cm2)'!$A$2:$A$52,MATCH($C285,'hp (pSv cm2)'!$A$2:$A$52,1)))*(INDEX('hp (pSv cm2)'!$B$2:$B$52,MATCH($C285,'hp (pSv cm2)'!$A$2:$A$52,1)+1)-INDEX('hp (pSv cm2)'!$B$2:$B$52,MATCH($C285,'hp (pSv cm2)'!$A$2:$A$52,1)))/(INDEX('hp (pSv cm2)'!$A$2:$A$52,MATCH($C285,'hp (pSv cm2)'!$A$2:$A$52,1)+1)-INDEX('hp (pSv cm2)'!$A$2:$A$52,MATCH($C285,'hp (pSv cm2)'!$A$2:$A$52,1))),$C285*'hp (pSv cm2)'!$B$2/'hp (pSv cm2)'!$A$2)</f>
        <v>1.5349900000000003</v>
      </c>
      <c r="G285" s="67">
        <f t="shared" si="21"/>
        <v>2.6708826000000006E-4</v>
      </c>
      <c r="H285" s="83">
        <f>_xlfn.IFNA(0.997*(INDEX('Mass attenuation coefficients'!$B$2:$B$37,MATCH($C285,'Mass attenuation coefficients'!$A$2:$A$37,1))+($C285-INDEX('Mass attenuation coefficients'!$A$2:$A$37,MATCH($C285,'Mass attenuation coefficients'!$A$2:$A$37,1)))*(INDEX('Mass attenuation coefficients'!$B$2:$B$37,MATCH($C285,'Mass attenuation coefficients'!$A$2:$A$37,1)+1)-INDEX('Mass attenuation coefficients'!$B$2:$B$37,MATCH($C285,'Mass attenuation coefficients'!$A$2:$A$37,1)))/(INDEX('Mass attenuation coefficients'!$A$2:$A$37,MATCH($C285,'Mass attenuation coefficients'!$A$2:$A$37,1)+1)-INDEX('Mass attenuation coefficients'!$A$2:$A$37,MATCH($C285,'Mass attenuation coefficients'!$A$2:$A$37,1)))),0.997*$C285*'Mass attenuation coefficients'!$B$2/'Mass attenuation coefficients'!$A$2)</f>
        <v>0.1176086125</v>
      </c>
      <c r="I285" s="83">
        <f>_xlfn.IFNA(INDEX('Shultis Faw'!$C$2:$C$26,MATCH($C285,'Shultis Faw'!$A$2:$A$26,1))+($C285-INDEX('Shultis Faw'!$A$2:$A$26,MATCH($C285,'Shultis Faw'!$A$2:$A$26,1)))*(INDEX('Shultis Faw'!$C$2:$C$26,MATCH($C285,'Shultis Faw'!$A$2:$A$26,1)+1)-INDEX('Shultis Faw'!$C$2:$C$26,MATCH($C285,'Shultis Faw'!$A$2:$A$26,1)))/(INDEX('Shultis Faw'!$A$2:$A$26,MATCH($C285,'Shultis Faw'!$A$2:$A$26,1)+1)-INDEX('Shultis Faw'!$A$2:$A$26,MATCH($C285,'Shultis Faw'!$A$2:$A$26,1))),$C285*'Shultis Faw'!$C$2/'Shultis Faw'!$A$2)</f>
        <v>2.9067399999999997</v>
      </c>
      <c r="J285" s="83">
        <f>_xlfn.IFNA(INDEX('Shultis Faw'!$D$2:$D$26,MATCH($C285,'Shultis Faw'!$A$2:$A$26,1))+($C285-INDEX('Shultis Faw'!$A$2:$A$26,MATCH($C285,'Shultis Faw'!$A$2:$A$26,1)))*(INDEX('Shultis Faw'!$D$2:$D$26,MATCH($C285,'Shultis Faw'!$A$2:$A$26,1)+1)-INDEX('Shultis Faw'!$D$2:$D$26,MATCH($C285,'Shultis Faw'!$A$2:$A$26,1)))/(INDEX('Shultis Faw'!$A$2:$A$26,MATCH($C285,'Shultis Faw'!$A$2:$A$26,1)+1)-INDEX('Shultis Faw'!$A$2:$A$26,MATCH($C285,'Shultis Faw'!$A$2:$A$26,1))),$C285*'Shultis Faw'!$D$2/'Shultis Faw'!$A$2)</f>
        <v>2.0148599999999997</v>
      </c>
      <c r="K285" s="83">
        <f>_xlfn.IFNA(INDEX('Shultis Faw'!$B$2:$B$26,MATCH($C285,'Shultis Faw'!$A$2:$A$26,1))+($C285-INDEX('Shultis Faw'!$A$2:$A$26,MATCH($C285,'Shultis Faw'!$A$2:$A$26,1)))*(INDEX('Shultis Faw'!$B$2:$B$26,MATCH($C285,'Shultis Faw'!$A$2:$A$26,1)+1)-INDEX('Shultis Faw'!$B$2:$B$26,MATCH($C285,'Shultis Faw'!$A$2:$A$26,1)))/(INDEX('Shultis Faw'!$A$2:$A$26,MATCH($C285,'Shultis Faw'!$A$2:$A$26,1)+1)-INDEX('Shultis Faw'!$A$2:$A$26,MATCH($C285,'Shultis Faw'!$A$2:$A$26,1))),$C285*'Shultis Faw'!$B$2/'Shultis Faw'!$A$2)</f>
        <v>-0.16323499999999999</v>
      </c>
      <c r="L285" s="83">
        <f>_xlfn.IFNA(INDEX('Shultis Faw'!$E$2:$E$26,MATCH($C285,'Shultis Faw'!$A$2:$A$26,1))+($C285-INDEX('Shultis Faw'!$A$2:$A$26,MATCH($C285,'Shultis Faw'!$A$2:$A$26,1)))*(INDEX('Shultis Faw'!$E$2:$E$26,MATCH($C285,'Shultis Faw'!$A$2:$A$26,1)+1)-INDEX('Shultis Faw'!$E$2:$E$26,MATCH($C285,'Shultis Faw'!$A$2:$A$26,1)))/(INDEX('Shultis Faw'!$A$2:$A$26,MATCH($C285,'Shultis Faw'!$A$2:$A$26,1)+1)-INDEX('Shultis Faw'!$A$2:$A$26,MATCH($C285,'Shultis Faw'!$A$2:$A$26,1))),$C285*'Shultis Faw'!$E$2/'Shultis Faw'!$A$2)</f>
        <v>6.5194000000000002E-2</v>
      </c>
      <c r="M285" s="83">
        <f>_xlfn.IFNA(INDEX('Shultis Faw'!$F$2:$F$26,MATCH($C285,'Shultis Faw'!$A$2:$A$26,1))+($C285-INDEX('Shultis Faw'!$A$2:$A$26,MATCH($C285,'Shultis Faw'!$A$2:$A$26,1)))*(INDEX('Shultis Faw'!$F$2:$F$26,MATCH($C285,'Shultis Faw'!$A$2:$A$26,1)+1)-INDEX('Shultis Faw'!$F$2:$F$26,MATCH($C285,'Shultis Faw'!$A$2:$A$26,1)))/(INDEX('Shultis Faw'!$A$2:$A$26,MATCH($C285,'Shultis Faw'!$A$2:$A$26,1)+1)-INDEX('Shultis Faw'!$A$2:$A$26,MATCH($C285,'Shultis Faw'!$A$2:$A$26,1))),$C285*'Shultis Faw'!$F$2/'Shultis Faw'!$A$2)</f>
        <v>14.211530000000002</v>
      </c>
      <c r="N285" s="83">
        <f>J285*(H285*'Externe blootstelling'!$D$23/2)^K285+L285*(TANH(((H285*'Externe blootstelling'!$D$23)/(2*M285))-2)-TANH(-2))/(1-TANH(-2))</f>
        <v>1.8368776364091848</v>
      </c>
      <c r="O285" s="83">
        <f>IF(N285=1,1+(I285-1)*H285*'Externe blootstelling'!$D$23/2,1+(I285-1)*(N285^(H285*'Externe blootstelling'!$D$23/2)-1)/(N285-1))</f>
        <v>5.3820152584985541</v>
      </c>
      <c r="P285" s="67">
        <f>G285*EXP(-H285*'Externe blootstelling'!$D$23/2)*O285</f>
        <v>2.4629077878606193E-4</v>
      </c>
      <c r="Q285" s="68"/>
    </row>
    <row r="286" spans="1:17" x14ac:dyDescent="0.2">
      <c r="A286" s="217"/>
      <c r="B286" s="64" t="s">
        <v>104</v>
      </c>
      <c r="C286" s="66">
        <v>0.30819999999999997</v>
      </c>
      <c r="D286" s="66">
        <f t="shared" si="20"/>
        <v>4.9312E-14</v>
      </c>
      <c r="E286" s="66">
        <v>2.3999999999999997E-5</v>
      </c>
      <c r="F286" s="66">
        <f>_xlfn.IFNA(INDEX('hp (pSv cm2)'!$B$2:$B$52,MATCH($C286,'hp (pSv cm2)'!$A$2:$A$52,1))+($C286-INDEX('hp (pSv cm2)'!$A$2:$A$52,MATCH($C286,'hp (pSv cm2)'!$A$2:$A$52,1)))*(INDEX('hp (pSv cm2)'!$B$2:$B$52,MATCH($C286,'hp (pSv cm2)'!$A$2:$A$52,1)+1)-INDEX('hp (pSv cm2)'!$B$2:$B$52,MATCH($C286,'hp (pSv cm2)'!$A$2:$A$52,1)))/(INDEX('hp (pSv cm2)'!$A$2:$A$52,MATCH($C286,'hp (pSv cm2)'!$A$2:$A$52,1)+1)-INDEX('hp (pSv cm2)'!$A$2:$A$52,MATCH($C286,'hp (pSv cm2)'!$A$2:$A$52,1))),$C286*'hp (pSv cm2)'!$B$2/'hp (pSv cm2)'!$A$2)</f>
        <v>1.5501799999999999</v>
      </c>
      <c r="G286" s="67">
        <f t="shared" si="21"/>
        <v>3.7204319999999993E-5</v>
      </c>
      <c r="H286" s="83">
        <f>_xlfn.IFNA(0.997*(INDEX('Mass attenuation coefficients'!$B$2:$B$37,MATCH($C286,'Mass attenuation coefficients'!$A$2:$A$37,1))+($C286-INDEX('Mass attenuation coefficients'!$A$2:$A$37,MATCH($C286,'Mass attenuation coefficients'!$A$2:$A$37,1)))*(INDEX('Mass attenuation coefficients'!$B$2:$B$37,MATCH($C286,'Mass attenuation coefficients'!$A$2:$A$37,1)+1)-INDEX('Mass attenuation coefficients'!$B$2:$B$37,MATCH($C286,'Mass attenuation coefficients'!$A$2:$A$37,1)))/(INDEX('Mass attenuation coefficients'!$A$2:$A$37,MATCH($C286,'Mass attenuation coefficients'!$A$2:$A$37,1)+1)-INDEX('Mass attenuation coefficients'!$A$2:$A$37,MATCH($C286,'Mass attenuation coefficients'!$A$2:$A$37,1)))),0.997*$C286*'Mass attenuation coefficients'!$B$2/'Mass attenuation coefficients'!$A$2)</f>
        <v>0.117222275</v>
      </c>
      <c r="I286" s="83">
        <f>_xlfn.IFNA(INDEX('Shultis Faw'!$C$2:$C$26,MATCH($C286,'Shultis Faw'!$A$2:$A$26,1))+($C286-INDEX('Shultis Faw'!$A$2:$A$26,MATCH($C286,'Shultis Faw'!$A$2:$A$26,1)))*(INDEX('Shultis Faw'!$C$2:$C$26,MATCH($C286,'Shultis Faw'!$A$2:$A$26,1)+1)-INDEX('Shultis Faw'!$C$2:$C$26,MATCH($C286,'Shultis Faw'!$A$2:$A$26,1)))/(INDEX('Shultis Faw'!$A$2:$A$26,MATCH($C286,'Shultis Faw'!$A$2:$A$26,1)+1)-INDEX('Shultis Faw'!$A$2:$A$26,MATCH($C286,'Shultis Faw'!$A$2:$A$26,1))),$C286*'Shultis Faw'!$C$2/'Shultis Faw'!$A$2)</f>
        <v>2.8986800000000001</v>
      </c>
      <c r="J286" s="83">
        <f>_xlfn.IFNA(INDEX('Shultis Faw'!$D$2:$D$26,MATCH($C286,'Shultis Faw'!$A$2:$A$26,1))+($C286-INDEX('Shultis Faw'!$A$2:$A$26,MATCH($C286,'Shultis Faw'!$A$2:$A$26,1)))*(INDEX('Shultis Faw'!$D$2:$D$26,MATCH($C286,'Shultis Faw'!$A$2:$A$26,1)+1)-INDEX('Shultis Faw'!$D$2:$D$26,MATCH($C286,'Shultis Faw'!$A$2:$A$26,1)))/(INDEX('Shultis Faw'!$A$2:$A$26,MATCH($C286,'Shultis Faw'!$A$2:$A$26,1)+1)-INDEX('Shultis Faw'!$A$2:$A$26,MATCH($C286,'Shultis Faw'!$A$2:$A$26,1))),$C286*'Shultis Faw'!$D$2/'Shultis Faw'!$A$2)</f>
        <v>2.0105199999999996</v>
      </c>
      <c r="K286" s="83">
        <f>_xlfn.IFNA(INDEX('Shultis Faw'!$B$2:$B$26,MATCH($C286,'Shultis Faw'!$A$2:$A$26,1))+($C286-INDEX('Shultis Faw'!$A$2:$A$26,MATCH($C286,'Shultis Faw'!$A$2:$A$26,1)))*(INDEX('Shultis Faw'!$B$2:$B$26,MATCH($C286,'Shultis Faw'!$A$2:$A$26,1)+1)-INDEX('Shultis Faw'!$B$2:$B$26,MATCH($C286,'Shultis Faw'!$A$2:$A$26,1)))/(INDEX('Shultis Faw'!$A$2:$A$26,MATCH($C286,'Shultis Faw'!$A$2:$A$26,1)+1)-INDEX('Shultis Faw'!$A$2:$A$26,MATCH($C286,'Shultis Faw'!$A$2:$A$26,1))),$C286*'Shultis Faw'!$B$2/'Shultis Faw'!$A$2)</f>
        <v>-0.16277</v>
      </c>
      <c r="L286" s="83">
        <f>_xlfn.IFNA(INDEX('Shultis Faw'!$E$2:$E$26,MATCH($C286,'Shultis Faw'!$A$2:$A$26,1))+($C286-INDEX('Shultis Faw'!$A$2:$A$26,MATCH($C286,'Shultis Faw'!$A$2:$A$26,1)))*(INDEX('Shultis Faw'!$E$2:$E$26,MATCH($C286,'Shultis Faw'!$A$2:$A$26,1)+1)-INDEX('Shultis Faw'!$E$2:$E$26,MATCH($C286,'Shultis Faw'!$A$2:$A$26,1)))/(INDEX('Shultis Faw'!$A$2:$A$26,MATCH($C286,'Shultis Faw'!$A$2:$A$26,1)+1)-INDEX('Shultis Faw'!$A$2:$A$26,MATCH($C286,'Shultis Faw'!$A$2:$A$26,1))),$C286*'Shultis Faw'!$E$2/'Shultis Faw'!$A$2)</f>
        <v>6.500800000000001E-2</v>
      </c>
      <c r="M286" s="83">
        <f>_xlfn.IFNA(INDEX('Shultis Faw'!$F$2:$F$26,MATCH($C286,'Shultis Faw'!$A$2:$A$26,1))+($C286-INDEX('Shultis Faw'!$A$2:$A$26,MATCH($C286,'Shultis Faw'!$A$2:$A$26,1)))*(INDEX('Shultis Faw'!$F$2:$F$26,MATCH($C286,'Shultis Faw'!$A$2:$A$26,1)+1)-INDEX('Shultis Faw'!$F$2:$F$26,MATCH($C286,'Shultis Faw'!$A$2:$A$26,1)))/(INDEX('Shultis Faw'!$A$2:$A$26,MATCH($C286,'Shultis Faw'!$A$2:$A$26,1)+1)-INDEX('Shultis Faw'!$A$2:$A$26,MATCH($C286,'Shultis Faw'!$A$2:$A$26,1))),$C286*'Shultis Faw'!$F$2/'Shultis Faw'!$A$2)</f>
        <v>14.21246</v>
      </c>
      <c r="N286" s="83">
        <f>J286*(H286*'Externe blootstelling'!$D$23/2)^K286+L286*(TANH(((H286*'Externe blootstelling'!$D$23)/(2*M286))-2)-TANH(-2))/(1-TANH(-2))</f>
        <v>1.8343853466968114</v>
      </c>
      <c r="O286" s="83">
        <f>IF(N286=1,1+(I286-1)*H286*'Externe blootstelling'!$D$23/2,1+(I286-1)*(N286^(H286*'Externe blootstelling'!$D$23/2)-1)/(N286-1))</f>
        <v>5.3373203995241871</v>
      </c>
      <c r="P286" s="67">
        <f>G286*EXP(-H286*'Externe blootstelling'!$D$23/2)*O286</f>
        <v>3.4220144384489764E-5</v>
      </c>
      <c r="Q286" s="68"/>
    </row>
    <row r="287" spans="1:17" x14ac:dyDescent="0.2">
      <c r="A287" s="217"/>
      <c r="B287" s="64" t="s">
        <v>104</v>
      </c>
      <c r="C287" s="66">
        <v>0.31230000000000002</v>
      </c>
      <c r="D287" s="66">
        <f t="shared" si="20"/>
        <v>4.9967999999999995E-14</v>
      </c>
      <c r="E287" s="66">
        <v>1.7999999999999998E-4</v>
      </c>
      <c r="F287" s="66">
        <f>_xlfn.IFNA(INDEX('hp (pSv cm2)'!$B$2:$B$52,MATCH($C287,'hp (pSv cm2)'!$A$2:$A$52,1))+($C287-INDEX('hp (pSv cm2)'!$A$2:$A$52,MATCH($C287,'hp (pSv cm2)'!$A$2:$A$52,1)))*(INDEX('hp (pSv cm2)'!$B$2:$B$52,MATCH($C287,'hp (pSv cm2)'!$A$2:$A$52,1)+1)-INDEX('hp (pSv cm2)'!$B$2:$B$52,MATCH($C287,'hp (pSv cm2)'!$A$2:$A$52,1)))/(INDEX('hp (pSv cm2)'!$A$2:$A$52,MATCH($C287,'hp (pSv cm2)'!$A$2:$A$52,1)+1)-INDEX('hp (pSv cm2)'!$A$2:$A$52,MATCH($C287,'hp (pSv cm2)'!$A$2:$A$52,1))),$C287*'hp (pSv cm2)'!$B$2/'hp (pSv cm2)'!$A$2)</f>
        <v>1.5702700000000001</v>
      </c>
      <c r="G287" s="67">
        <f t="shared" si="21"/>
        <v>2.8264859999999997E-4</v>
      </c>
      <c r="H287" s="83">
        <f>_xlfn.IFNA(0.997*(INDEX('Mass attenuation coefficients'!$B$2:$B$37,MATCH($C287,'Mass attenuation coefficients'!$A$2:$A$37,1))+($C287-INDEX('Mass attenuation coefficients'!$A$2:$A$37,MATCH($C287,'Mass attenuation coefficients'!$A$2:$A$37,1)))*(INDEX('Mass attenuation coefficients'!$B$2:$B$37,MATCH($C287,'Mass attenuation coefficients'!$A$2:$A$37,1)+1)-INDEX('Mass attenuation coefficients'!$B$2:$B$37,MATCH($C287,'Mass attenuation coefficients'!$A$2:$A$37,1)))/(INDEX('Mass attenuation coefficients'!$A$2:$A$37,MATCH($C287,'Mass attenuation coefficients'!$A$2:$A$37,1)+1)-INDEX('Mass attenuation coefficients'!$A$2:$A$37,MATCH($C287,'Mass attenuation coefficients'!$A$2:$A$37,1)))),0.997*$C287*'Mass attenuation coefficients'!$B$2/'Mass attenuation coefficients'!$A$2)</f>
        <v>0.1167113125</v>
      </c>
      <c r="I287" s="83">
        <f>_xlfn.IFNA(INDEX('Shultis Faw'!$C$2:$C$26,MATCH($C287,'Shultis Faw'!$A$2:$A$26,1))+($C287-INDEX('Shultis Faw'!$A$2:$A$26,MATCH($C287,'Shultis Faw'!$A$2:$A$26,1)))*(INDEX('Shultis Faw'!$C$2:$C$26,MATCH($C287,'Shultis Faw'!$A$2:$A$26,1)+1)-INDEX('Shultis Faw'!$C$2:$C$26,MATCH($C287,'Shultis Faw'!$A$2:$A$26,1)))/(INDEX('Shultis Faw'!$A$2:$A$26,MATCH($C287,'Shultis Faw'!$A$2:$A$26,1)+1)-INDEX('Shultis Faw'!$A$2:$A$26,MATCH($C287,'Shultis Faw'!$A$2:$A$26,1))),$C287*'Shultis Faw'!$C$2/'Shultis Faw'!$A$2)</f>
        <v>2.88802</v>
      </c>
      <c r="J287" s="83">
        <f>_xlfn.IFNA(INDEX('Shultis Faw'!$D$2:$D$26,MATCH($C287,'Shultis Faw'!$A$2:$A$26,1))+($C287-INDEX('Shultis Faw'!$A$2:$A$26,MATCH($C287,'Shultis Faw'!$A$2:$A$26,1)))*(INDEX('Shultis Faw'!$D$2:$D$26,MATCH($C287,'Shultis Faw'!$A$2:$A$26,1)+1)-INDEX('Shultis Faw'!$D$2:$D$26,MATCH($C287,'Shultis Faw'!$A$2:$A$26,1)))/(INDEX('Shultis Faw'!$A$2:$A$26,MATCH($C287,'Shultis Faw'!$A$2:$A$26,1)+1)-INDEX('Shultis Faw'!$A$2:$A$26,MATCH($C287,'Shultis Faw'!$A$2:$A$26,1))),$C287*'Shultis Faw'!$D$2/'Shultis Faw'!$A$2)</f>
        <v>2.0047799999999998</v>
      </c>
      <c r="K287" s="83">
        <f>_xlfn.IFNA(INDEX('Shultis Faw'!$B$2:$B$26,MATCH($C287,'Shultis Faw'!$A$2:$A$26,1))+($C287-INDEX('Shultis Faw'!$A$2:$A$26,MATCH($C287,'Shultis Faw'!$A$2:$A$26,1)))*(INDEX('Shultis Faw'!$B$2:$B$26,MATCH($C287,'Shultis Faw'!$A$2:$A$26,1)+1)-INDEX('Shultis Faw'!$B$2:$B$26,MATCH($C287,'Shultis Faw'!$A$2:$A$26,1)))/(INDEX('Shultis Faw'!$A$2:$A$26,MATCH($C287,'Shultis Faw'!$A$2:$A$26,1)+1)-INDEX('Shultis Faw'!$A$2:$A$26,MATCH($C287,'Shultis Faw'!$A$2:$A$26,1))),$C287*'Shultis Faw'!$B$2/'Shultis Faw'!$A$2)</f>
        <v>-0.16215499999999999</v>
      </c>
      <c r="L287" s="83">
        <f>_xlfn.IFNA(INDEX('Shultis Faw'!$E$2:$E$26,MATCH($C287,'Shultis Faw'!$A$2:$A$26,1))+($C287-INDEX('Shultis Faw'!$A$2:$A$26,MATCH($C287,'Shultis Faw'!$A$2:$A$26,1)))*(INDEX('Shultis Faw'!$E$2:$E$26,MATCH($C287,'Shultis Faw'!$A$2:$A$26,1)+1)-INDEX('Shultis Faw'!$E$2:$E$26,MATCH($C287,'Shultis Faw'!$A$2:$A$26,1)))/(INDEX('Shultis Faw'!$A$2:$A$26,MATCH($C287,'Shultis Faw'!$A$2:$A$26,1)+1)-INDEX('Shultis Faw'!$A$2:$A$26,MATCH($C287,'Shultis Faw'!$A$2:$A$26,1))),$C287*'Shultis Faw'!$E$2/'Shultis Faw'!$A$2)</f>
        <v>6.4762E-2</v>
      </c>
      <c r="M287" s="83">
        <f>_xlfn.IFNA(INDEX('Shultis Faw'!$F$2:$F$26,MATCH($C287,'Shultis Faw'!$A$2:$A$26,1))+($C287-INDEX('Shultis Faw'!$A$2:$A$26,MATCH($C287,'Shultis Faw'!$A$2:$A$26,1)))*(INDEX('Shultis Faw'!$F$2:$F$26,MATCH($C287,'Shultis Faw'!$A$2:$A$26,1)+1)-INDEX('Shultis Faw'!$F$2:$F$26,MATCH($C287,'Shultis Faw'!$A$2:$A$26,1)))/(INDEX('Shultis Faw'!$A$2:$A$26,MATCH($C287,'Shultis Faw'!$A$2:$A$26,1)+1)-INDEX('Shultis Faw'!$A$2:$A$26,MATCH($C287,'Shultis Faw'!$A$2:$A$26,1))),$C287*'Shultis Faw'!$F$2/'Shultis Faw'!$A$2)</f>
        <v>14.213690000000001</v>
      </c>
      <c r="N287" s="83">
        <f>J287*(H287*'Externe blootstelling'!$D$23/2)^K287+L287*(TANH(((H287*'Externe blootstelling'!$D$23)/(2*M287))-2)-TANH(-2))/(1-TANH(-2))</f>
        <v>1.8310775331028752</v>
      </c>
      <c r="O287" s="83">
        <f>IF(N287=1,1+(I287-1)*H287*'Externe blootstelling'!$D$23/2,1+(I287-1)*(N287^(H287*'Externe blootstelling'!$D$23/2)-1)/(N287-1))</f>
        <v>5.2787763758195156</v>
      </c>
      <c r="P287" s="67">
        <f>G287*EXP(-H287*'Externe blootstelling'!$D$23/2)*O287</f>
        <v>2.5910388102980808E-4</v>
      </c>
      <c r="Q287" s="68"/>
    </row>
    <row r="288" spans="1:17" x14ac:dyDescent="0.2">
      <c r="A288" s="217"/>
      <c r="B288" s="64" t="s">
        <v>104</v>
      </c>
      <c r="C288" s="66">
        <v>0.31539999999999996</v>
      </c>
      <c r="D288" s="66">
        <f t="shared" si="20"/>
        <v>5.0463999999999987E-14</v>
      </c>
      <c r="E288" s="66">
        <v>7.0000000000000007E-5</v>
      </c>
      <c r="F288" s="66">
        <f>_xlfn.IFNA(INDEX('hp (pSv cm2)'!$B$2:$B$52,MATCH($C288,'hp (pSv cm2)'!$A$2:$A$52,1))+($C288-INDEX('hp (pSv cm2)'!$A$2:$A$52,MATCH($C288,'hp (pSv cm2)'!$A$2:$A$52,1)))*(INDEX('hp (pSv cm2)'!$B$2:$B$52,MATCH($C288,'hp (pSv cm2)'!$A$2:$A$52,1)+1)-INDEX('hp (pSv cm2)'!$B$2:$B$52,MATCH($C288,'hp (pSv cm2)'!$A$2:$A$52,1)))/(INDEX('hp (pSv cm2)'!$A$2:$A$52,MATCH($C288,'hp (pSv cm2)'!$A$2:$A$52,1)+1)-INDEX('hp (pSv cm2)'!$A$2:$A$52,MATCH($C288,'hp (pSv cm2)'!$A$2:$A$52,1))),$C288*'hp (pSv cm2)'!$B$2/'hp (pSv cm2)'!$A$2)</f>
        <v>1.5854599999999999</v>
      </c>
      <c r="G288" s="67">
        <f t="shared" si="21"/>
        <v>1.109822E-4</v>
      </c>
      <c r="H288" s="83">
        <f>_xlfn.IFNA(0.997*(INDEX('Mass attenuation coefficients'!$B$2:$B$37,MATCH($C288,'Mass attenuation coefficients'!$A$2:$A$37,1))+($C288-INDEX('Mass attenuation coefficients'!$A$2:$A$37,MATCH($C288,'Mass attenuation coefficients'!$A$2:$A$37,1)))*(INDEX('Mass attenuation coefficients'!$B$2:$B$37,MATCH($C288,'Mass attenuation coefficients'!$A$2:$A$37,1)+1)-INDEX('Mass attenuation coefficients'!$B$2:$B$37,MATCH($C288,'Mass attenuation coefficients'!$A$2:$A$37,1)))/(INDEX('Mass attenuation coefficients'!$A$2:$A$37,MATCH($C288,'Mass attenuation coefficients'!$A$2:$A$37,1)+1)-INDEX('Mass attenuation coefficients'!$A$2:$A$37,MATCH($C288,'Mass attenuation coefficients'!$A$2:$A$37,1)))),0.997*$C288*'Mass attenuation coefficients'!$B$2/'Mass attenuation coefficients'!$A$2)</f>
        <v>0.116324975</v>
      </c>
      <c r="I288" s="83">
        <f>_xlfn.IFNA(INDEX('Shultis Faw'!$C$2:$C$26,MATCH($C288,'Shultis Faw'!$A$2:$A$26,1))+($C288-INDEX('Shultis Faw'!$A$2:$A$26,MATCH($C288,'Shultis Faw'!$A$2:$A$26,1)))*(INDEX('Shultis Faw'!$C$2:$C$26,MATCH($C288,'Shultis Faw'!$A$2:$A$26,1)+1)-INDEX('Shultis Faw'!$C$2:$C$26,MATCH($C288,'Shultis Faw'!$A$2:$A$26,1)))/(INDEX('Shultis Faw'!$A$2:$A$26,MATCH($C288,'Shultis Faw'!$A$2:$A$26,1)+1)-INDEX('Shultis Faw'!$A$2:$A$26,MATCH($C288,'Shultis Faw'!$A$2:$A$26,1))),$C288*'Shultis Faw'!$C$2/'Shultis Faw'!$A$2)</f>
        <v>2.8799600000000001</v>
      </c>
      <c r="J288" s="83">
        <f>_xlfn.IFNA(INDEX('Shultis Faw'!$D$2:$D$26,MATCH($C288,'Shultis Faw'!$A$2:$A$26,1))+($C288-INDEX('Shultis Faw'!$A$2:$A$26,MATCH($C288,'Shultis Faw'!$A$2:$A$26,1)))*(INDEX('Shultis Faw'!$D$2:$D$26,MATCH($C288,'Shultis Faw'!$A$2:$A$26,1)+1)-INDEX('Shultis Faw'!$D$2:$D$26,MATCH($C288,'Shultis Faw'!$A$2:$A$26,1)))/(INDEX('Shultis Faw'!$A$2:$A$26,MATCH($C288,'Shultis Faw'!$A$2:$A$26,1)+1)-INDEX('Shultis Faw'!$A$2:$A$26,MATCH($C288,'Shultis Faw'!$A$2:$A$26,1))),$C288*'Shultis Faw'!$D$2/'Shultis Faw'!$A$2)</f>
        <v>2.0004399999999998</v>
      </c>
      <c r="K288" s="83">
        <f>_xlfn.IFNA(INDEX('Shultis Faw'!$B$2:$B$26,MATCH($C288,'Shultis Faw'!$A$2:$A$26,1))+($C288-INDEX('Shultis Faw'!$A$2:$A$26,MATCH($C288,'Shultis Faw'!$A$2:$A$26,1)))*(INDEX('Shultis Faw'!$B$2:$B$26,MATCH($C288,'Shultis Faw'!$A$2:$A$26,1)+1)-INDEX('Shultis Faw'!$B$2:$B$26,MATCH($C288,'Shultis Faw'!$A$2:$A$26,1)))/(INDEX('Shultis Faw'!$A$2:$A$26,MATCH($C288,'Shultis Faw'!$A$2:$A$26,1)+1)-INDEX('Shultis Faw'!$A$2:$A$26,MATCH($C288,'Shultis Faw'!$A$2:$A$26,1))),$C288*'Shultis Faw'!$B$2/'Shultis Faw'!$A$2)</f>
        <v>-0.16169</v>
      </c>
      <c r="L288" s="83">
        <f>_xlfn.IFNA(INDEX('Shultis Faw'!$E$2:$E$26,MATCH($C288,'Shultis Faw'!$A$2:$A$26,1))+($C288-INDEX('Shultis Faw'!$A$2:$A$26,MATCH($C288,'Shultis Faw'!$A$2:$A$26,1)))*(INDEX('Shultis Faw'!$E$2:$E$26,MATCH($C288,'Shultis Faw'!$A$2:$A$26,1)+1)-INDEX('Shultis Faw'!$E$2:$E$26,MATCH($C288,'Shultis Faw'!$A$2:$A$26,1)))/(INDEX('Shultis Faw'!$A$2:$A$26,MATCH($C288,'Shultis Faw'!$A$2:$A$26,1)+1)-INDEX('Shultis Faw'!$A$2:$A$26,MATCH($C288,'Shultis Faw'!$A$2:$A$26,1))),$C288*'Shultis Faw'!$E$2/'Shultis Faw'!$A$2)</f>
        <v>6.4576000000000008E-2</v>
      </c>
      <c r="M288" s="83">
        <f>_xlfn.IFNA(INDEX('Shultis Faw'!$F$2:$F$26,MATCH($C288,'Shultis Faw'!$A$2:$A$26,1))+($C288-INDEX('Shultis Faw'!$A$2:$A$26,MATCH($C288,'Shultis Faw'!$A$2:$A$26,1)))*(INDEX('Shultis Faw'!$F$2:$F$26,MATCH($C288,'Shultis Faw'!$A$2:$A$26,1)+1)-INDEX('Shultis Faw'!$F$2:$F$26,MATCH($C288,'Shultis Faw'!$A$2:$A$26,1)))/(INDEX('Shultis Faw'!$A$2:$A$26,MATCH($C288,'Shultis Faw'!$A$2:$A$26,1)+1)-INDEX('Shultis Faw'!$A$2:$A$26,MATCH($C288,'Shultis Faw'!$A$2:$A$26,1))),$C288*'Shultis Faw'!$F$2/'Shultis Faw'!$A$2)</f>
        <v>14.21462</v>
      </c>
      <c r="N288" s="83">
        <f>J288*(H288*'Externe blootstelling'!$D$23/2)^K288+L288*(TANH(((H288*'Externe blootstelling'!$D$23)/(2*M288))-2)-TANH(-2))/(1-TANH(-2))</f>
        <v>1.8285677589390528</v>
      </c>
      <c r="O288" s="83">
        <f>IF(N288=1,1+(I288-1)*H288*'Externe blootstelling'!$D$23/2,1+(I288-1)*(N288^(H288*'Externe blootstelling'!$D$23/2)-1)/(N288-1))</f>
        <v>5.2349376325540309</v>
      </c>
      <c r="P288" s="67">
        <f>G288*EXP(-H288*'Externe blootstelling'!$D$23/2)*O288</f>
        <v>1.0147882274354807E-4</v>
      </c>
      <c r="Q288" s="68"/>
    </row>
    <row r="289" spans="1:17" x14ac:dyDescent="0.2">
      <c r="A289" s="217"/>
      <c r="B289" s="64" t="s">
        <v>104</v>
      </c>
      <c r="C289" s="66">
        <v>0.32</v>
      </c>
      <c r="D289" s="66">
        <f t="shared" si="20"/>
        <v>5.1199999999999999E-14</v>
      </c>
      <c r="E289" s="66">
        <v>1.0000000000000001E-5</v>
      </c>
      <c r="F289" s="66">
        <f>_xlfn.IFNA(INDEX('hp (pSv cm2)'!$B$2:$B$52,MATCH($C289,'hp (pSv cm2)'!$A$2:$A$52,1))+($C289-INDEX('hp (pSv cm2)'!$A$2:$A$52,MATCH($C289,'hp (pSv cm2)'!$A$2:$A$52,1)))*(INDEX('hp (pSv cm2)'!$B$2:$B$52,MATCH($C289,'hp (pSv cm2)'!$A$2:$A$52,1)+1)-INDEX('hp (pSv cm2)'!$B$2:$B$52,MATCH($C289,'hp (pSv cm2)'!$A$2:$A$52,1)))/(INDEX('hp (pSv cm2)'!$A$2:$A$52,MATCH($C289,'hp (pSv cm2)'!$A$2:$A$52,1)+1)-INDEX('hp (pSv cm2)'!$A$2:$A$52,MATCH($C289,'hp (pSv cm2)'!$A$2:$A$52,1))),$C289*'hp (pSv cm2)'!$B$2/'hp (pSv cm2)'!$A$2)</f>
        <v>1.6080000000000001</v>
      </c>
      <c r="G289" s="67">
        <f t="shared" si="21"/>
        <v>1.6080000000000002E-5</v>
      </c>
      <c r="H289" s="83">
        <f>_xlfn.IFNA(0.997*(INDEX('Mass attenuation coefficients'!$B$2:$B$37,MATCH($C289,'Mass attenuation coefficients'!$A$2:$A$37,1))+($C289-INDEX('Mass attenuation coefficients'!$A$2:$A$37,MATCH($C289,'Mass attenuation coefficients'!$A$2:$A$37,1)))*(INDEX('Mass attenuation coefficients'!$B$2:$B$37,MATCH($C289,'Mass attenuation coefficients'!$A$2:$A$37,1)+1)-INDEX('Mass attenuation coefficients'!$B$2:$B$37,MATCH($C289,'Mass attenuation coefficients'!$A$2:$A$37,1)))/(INDEX('Mass attenuation coefficients'!$A$2:$A$37,MATCH($C289,'Mass attenuation coefficients'!$A$2:$A$37,1)+1)-INDEX('Mass attenuation coefficients'!$A$2:$A$37,MATCH($C289,'Mass attenuation coefficients'!$A$2:$A$37,1)))),0.997*$C289*'Mass attenuation coefficients'!$B$2/'Mass attenuation coefficients'!$A$2)</f>
        <v>0.1157517</v>
      </c>
      <c r="I289" s="83">
        <f>_xlfn.IFNA(INDEX('Shultis Faw'!$C$2:$C$26,MATCH($C289,'Shultis Faw'!$A$2:$A$26,1))+($C289-INDEX('Shultis Faw'!$A$2:$A$26,MATCH($C289,'Shultis Faw'!$A$2:$A$26,1)))*(INDEX('Shultis Faw'!$C$2:$C$26,MATCH($C289,'Shultis Faw'!$A$2:$A$26,1)+1)-INDEX('Shultis Faw'!$C$2:$C$26,MATCH($C289,'Shultis Faw'!$A$2:$A$26,1)))/(INDEX('Shultis Faw'!$A$2:$A$26,MATCH($C289,'Shultis Faw'!$A$2:$A$26,1)+1)-INDEX('Shultis Faw'!$A$2:$A$26,MATCH($C289,'Shultis Faw'!$A$2:$A$26,1))),$C289*'Shultis Faw'!$C$2/'Shultis Faw'!$A$2)</f>
        <v>2.8679999999999999</v>
      </c>
      <c r="J289" s="83">
        <f>_xlfn.IFNA(INDEX('Shultis Faw'!$D$2:$D$26,MATCH($C289,'Shultis Faw'!$A$2:$A$26,1))+($C289-INDEX('Shultis Faw'!$A$2:$A$26,MATCH($C289,'Shultis Faw'!$A$2:$A$26,1)))*(INDEX('Shultis Faw'!$D$2:$D$26,MATCH($C289,'Shultis Faw'!$A$2:$A$26,1)+1)-INDEX('Shultis Faw'!$D$2:$D$26,MATCH($C289,'Shultis Faw'!$A$2:$A$26,1)))/(INDEX('Shultis Faw'!$A$2:$A$26,MATCH($C289,'Shultis Faw'!$A$2:$A$26,1)+1)-INDEX('Shultis Faw'!$A$2:$A$26,MATCH($C289,'Shultis Faw'!$A$2:$A$26,1))),$C289*'Shultis Faw'!$D$2/'Shultis Faw'!$A$2)</f>
        <v>1.9939999999999998</v>
      </c>
      <c r="K289" s="83">
        <f>_xlfn.IFNA(INDEX('Shultis Faw'!$B$2:$B$26,MATCH($C289,'Shultis Faw'!$A$2:$A$26,1))+($C289-INDEX('Shultis Faw'!$A$2:$A$26,MATCH($C289,'Shultis Faw'!$A$2:$A$26,1)))*(INDEX('Shultis Faw'!$B$2:$B$26,MATCH($C289,'Shultis Faw'!$A$2:$A$26,1)+1)-INDEX('Shultis Faw'!$B$2:$B$26,MATCH($C289,'Shultis Faw'!$A$2:$A$26,1)))/(INDEX('Shultis Faw'!$A$2:$A$26,MATCH($C289,'Shultis Faw'!$A$2:$A$26,1)+1)-INDEX('Shultis Faw'!$A$2:$A$26,MATCH($C289,'Shultis Faw'!$A$2:$A$26,1))),$C289*'Shultis Faw'!$B$2/'Shultis Faw'!$A$2)</f>
        <v>-0.161</v>
      </c>
      <c r="L289" s="83">
        <f>_xlfn.IFNA(INDEX('Shultis Faw'!$E$2:$E$26,MATCH($C289,'Shultis Faw'!$A$2:$A$26,1))+($C289-INDEX('Shultis Faw'!$A$2:$A$26,MATCH($C289,'Shultis Faw'!$A$2:$A$26,1)))*(INDEX('Shultis Faw'!$E$2:$E$26,MATCH($C289,'Shultis Faw'!$A$2:$A$26,1)+1)-INDEX('Shultis Faw'!$E$2:$E$26,MATCH($C289,'Shultis Faw'!$A$2:$A$26,1)))/(INDEX('Shultis Faw'!$A$2:$A$26,MATCH($C289,'Shultis Faw'!$A$2:$A$26,1)+1)-INDEX('Shultis Faw'!$A$2:$A$26,MATCH($C289,'Shultis Faw'!$A$2:$A$26,1))),$C289*'Shultis Faw'!$E$2/'Shultis Faw'!$A$2)</f>
        <v>6.4299999999999996E-2</v>
      </c>
      <c r="M289" s="83">
        <f>_xlfn.IFNA(INDEX('Shultis Faw'!$F$2:$F$26,MATCH($C289,'Shultis Faw'!$A$2:$A$26,1))+($C289-INDEX('Shultis Faw'!$A$2:$A$26,MATCH($C289,'Shultis Faw'!$A$2:$A$26,1)))*(INDEX('Shultis Faw'!$F$2:$F$26,MATCH($C289,'Shultis Faw'!$A$2:$A$26,1)+1)-INDEX('Shultis Faw'!$F$2:$F$26,MATCH($C289,'Shultis Faw'!$A$2:$A$26,1)))/(INDEX('Shultis Faw'!$A$2:$A$26,MATCH($C289,'Shultis Faw'!$A$2:$A$26,1)+1)-INDEX('Shultis Faw'!$A$2:$A$26,MATCH($C289,'Shultis Faw'!$A$2:$A$26,1))),$C289*'Shultis Faw'!$F$2/'Shultis Faw'!$A$2)</f>
        <v>14.216000000000001</v>
      </c>
      <c r="N289" s="83">
        <f>J289*(H289*'Externe blootstelling'!$D$23/2)^K289+L289*(TANH(((H289*'Externe blootstelling'!$D$23)/(2*M289))-2)-TANH(-2))/(1-TANH(-2))</f>
        <v>1.8248296936383563</v>
      </c>
      <c r="O289" s="83">
        <f>IF(N289=1,1+(I289-1)*H289*'Externe blootstelling'!$D$23/2,1+(I289-1)*(N289^(H289*'Externe blootstelling'!$D$23/2)-1)/(N289-1))</f>
        <v>5.1705565021616655</v>
      </c>
      <c r="P289" s="67">
        <f>G289*EXP(-H289*'Externe blootstelling'!$D$23/2)*O289</f>
        <v>1.4647667197651481E-5</v>
      </c>
      <c r="Q289" s="68"/>
    </row>
    <row r="290" spans="1:17" x14ac:dyDescent="0.2">
      <c r="A290" s="217"/>
      <c r="B290" s="64" t="s">
        <v>104</v>
      </c>
      <c r="C290" s="66">
        <v>0.32201999999999997</v>
      </c>
      <c r="D290" s="66">
        <f t="shared" si="20"/>
        <v>5.1523199999999996E-14</v>
      </c>
      <c r="E290" s="66">
        <v>6.6E-4</v>
      </c>
      <c r="F290" s="66">
        <f>_xlfn.IFNA(INDEX('hp (pSv cm2)'!$B$2:$B$52,MATCH($C290,'hp (pSv cm2)'!$A$2:$A$52,1))+($C290-INDEX('hp (pSv cm2)'!$A$2:$A$52,MATCH($C290,'hp (pSv cm2)'!$A$2:$A$52,1)))*(INDEX('hp (pSv cm2)'!$B$2:$B$52,MATCH($C290,'hp (pSv cm2)'!$A$2:$A$52,1)+1)-INDEX('hp (pSv cm2)'!$B$2:$B$52,MATCH($C290,'hp (pSv cm2)'!$A$2:$A$52,1)))/(INDEX('hp (pSv cm2)'!$A$2:$A$52,MATCH($C290,'hp (pSv cm2)'!$A$2:$A$52,1)+1)-INDEX('hp (pSv cm2)'!$A$2:$A$52,MATCH($C290,'hp (pSv cm2)'!$A$2:$A$52,1))),$C290*'hp (pSv cm2)'!$B$2/'hp (pSv cm2)'!$A$2)</f>
        <v>1.6178979999999998</v>
      </c>
      <c r="G290" s="67">
        <f t="shared" si="21"/>
        <v>1.0678126799999999E-3</v>
      </c>
      <c r="H290" s="83">
        <f>_xlfn.IFNA(0.997*(INDEX('Mass attenuation coefficients'!$B$2:$B$37,MATCH($C290,'Mass attenuation coefficients'!$A$2:$A$37,1))+($C290-INDEX('Mass attenuation coefficients'!$A$2:$A$37,MATCH($C290,'Mass attenuation coefficients'!$A$2:$A$37,1)))*(INDEX('Mass attenuation coefficients'!$B$2:$B$37,MATCH($C290,'Mass attenuation coefficients'!$A$2:$A$37,1)+1)-INDEX('Mass attenuation coefficients'!$B$2:$B$37,MATCH($C290,'Mass attenuation coefficients'!$A$2:$A$37,1)))/(INDEX('Mass attenuation coefficients'!$A$2:$A$37,MATCH($C290,'Mass attenuation coefficients'!$A$2:$A$37,1)+1)-INDEX('Mass attenuation coefficients'!$A$2:$A$37,MATCH($C290,'Mass attenuation coefficients'!$A$2:$A$37,1)))),0.997*$C290*'Mass attenuation coefficients'!$B$2/'Mass attenuation coefficients'!$A$2)</f>
        <v>0.1154999575</v>
      </c>
      <c r="I290" s="83">
        <f>_xlfn.IFNA(INDEX('Shultis Faw'!$C$2:$C$26,MATCH($C290,'Shultis Faw'!$A$2:$A$26,1))+($C290-INDEX('Shultis Faw'!$A$2:$A$26,MATCH($C290,'Shultis Faw'!$A$2:$A$26,1)))*(INDEX('Shultis Faw'!$C$2:$C$26,MATCH($C290,'Shultis Faw'!$A$2:$A$26,1)+1)-INDEX('Shultis Faw'!$C$2:$C$26,MATCH($C290,'Shultis Faw'!$A$2:$A$26,1)))/(INDEX('Shultis Faw'!$A$2:$A$26,MATCH($C290,'Shultis Faw'!$A$2:$A$26,1)+1)-INDEX('Shultis Faw'!$A$2:$A$26,MATCH($C290,'Shultis Faw'!$A$2:$A$26,1))),$C290*'Shultis Faw'!$C$2/'Shultis Faw'!$A$2)</f>
        <v>2.8627479999999998</v>
      </c>
      <c r="J290" s="83">
        <f>_xlfn.IFNA(INDEX('Shultis Faw'!$D$2:$D$26,MATCH($C290,'Shultis Faw'!$A$2:$A$26,1))+($C290-INDEX('Shultis Faw'!$A$2:$A$26,MATCH($C290,'Shultis Faw'!$A$2:$A$26,1)))*(INDEX('Shultis Faw'!$D$2:$D$26,MATCH($C290,'Shultis Faw'!$A$2:$A$26,1)+1)-INDEX('Shultis Faw'!$D$2:$D$26,MATCH($C290,'Shultis Faw'!$A$2:$A$26,1)))/(INDEX('Shultis Faw'!$A$2:$A$26,MATCH($C290,'Shultis Faw'!$A$2:$A$26,1)+1)-INDEX('Shultis Faw'!$A$2:$A$26,MATCH($C290,'Shultis Faw'!$A$2:$A$26,1))),$C290*'Shultis Faw'!$D$2/'Shultis Faw'!$A$2)</f>
        <v>1.9911719999999999</v>
      </c>
      <c r="K290" s="83">
        <f>_xlfn.IFNA(INDEX('Shultis Faw'!$B$2:$B$26,MATCH($C290,'Shultis Faw'!$A$2:$A$26,1))+($C290-INDEX('Shultis Faw'!$A$2:$A$26,MATCH($C290,'Shultis Faw'!$A$2:$A$26,1)))*(INDEX('Shultis Faw'!$B$2:$B$26,MATCH($C290,'Shultis Faw'!$A$2:$A$26,1)+1)-INDEX('Shultis Faw'!$B$2:$B$26,MATCH($C290,'Shultis Faw'!$A$2:$A$26,1)))/(INDEX('Shultis Faw'!$A$2:$A$26,MATCH($C290,'Shultis Faw'!$A$2:$A$26,1)+1)-INDEX('Shultis Faw'!$A$2:$A$26,MATCH($C290,'Shultis Faw'!$A$2:$A$26,1))),$C290*'Shultis Faw'!$B$2/'Shultis Faw'!$A$2)</f>
        <v>-0.16069700000000001</v>
      </c>
      <c r="L290" s="83">
        <f>_xlfn.IFNA(INDEX('Shultis Faw'!$E$2:$E$26,MATCH($C290,'Shultis Faw'!$A$2:$A$26,1))+($C290-INDEX('Shultis Faw'!$A$2:$A$26,MATCH($C290,'Shultis Faw'!$A$2:$A$26,1)))*(INDEX('Shultis Faw'!$E$2:$E$26,MATCH($C290,'Shultis Faw'!$A$2:$A$26,1)+1)-INDEX('Shultis Faw'!$E$2:$E$26,MATCH($C290,'Shultis Faw'!$A$2:$A$26,1)))/(INDEX('Shultis Faw'!$A$2:$A$26,MATCH($C290,'Shultis Faw'!$A$2:$A$26,1)+1)-INDEX('Shultis Faw'!$A$2:$A$26,MATCH($C290,'Shultis Faw'!$A$2:$A$26,1))),$C290*'Shultis Faw'!$E$2/'Shultis Faw'!$A$2)</f>
        <v>6.4178800000000008E-2</v>
      </c>
      <c r="M290" s="83">
        <f>_xlfn.IFNA(INDEX('Shultis Faw'!$F$2:$F$26,MATCH($C290,'Shultis Faw'!$A$2:$A$26,1))+($C290-INDEX('Shultis Faw'!$A$2:$A$26,MATCH($C290,'Shultis Faw'!$A$2:$A$26,1)))*(INDEX('Shultis Faw'!$F$2:$F$26,MATCH($C290,'Shultis Faw'!$A$2:$A$26,1)+1)-INDEX('Shultis Faw'!$F$2:$F$26,MATCH($C290,'Shultis Faw'!$A$2:$A$26,1)))/(INDEX('Shultis Faw'!$A$2:$A$26,MATCH($C290,'Shultis Faw'!$A$2:$A$26,1)+1)-INDEX('Shultis Faw'!$A$2:$A$26,MATCH($C290,'Shultis Faw'!$A$2:$A$26,1))),$C290*'Shultis Faw'!$F$2/'Shultis Faw'!$A$2)</f>
        <v>14.216606000000001</v>
      </c>
      <c r="N290" s="83">
        <f>J290*(H290*'Externe blootstelling'!$D$23/2)^K290+L290*(TANH(((H290*'Externe blootstelling'!$D$23)/(2*M290))-2)-TANH(-2))/(1-TANH(-2))</f>
        <v>1.8231829511980686</v>
      </c>
      <c r="O290" s="83">
        <f>IF(N290=1,1+(I290-1)*H290*'Externe blootstelling'!$D$23/2,1+(I290-1)*(N290^(H290*'Externe blootstelling'!$D$23/2)-1)/(N290-1))</f>
        <v>5.1425356939468685</v>
      </c>
      <c r="P290" s="67">
        <f>G290*EXP(-H290*'Externe blootstelling'!$D$23/2)*O290</f>
        <v>9.7108551350120369E-4</v>
      </c>
      <c r="Q290" s="68"/>
    </row>
    <row r="291" spans="1:17" x14ac:dyDescent="0.2">
      <c r="A291" s="217"/>
      <c r="B291" s="64" t="s">
        <v>104</v>
      </c>
      <c r="C291" s="66">
        <v>0.32989999999999997</v>
      </c>
      <c r="D291" s="66">
        <f t="shared" si="20"/>
        <v>5.2783999999999996E-14</v>
      </c>
      <c r="E291" s="66">
        <v>9.1000000000000003E-5</v>
      </c>
      <c r="F291" s="66">
        <f>_xlfn.IFNA(INDEX('hp (pSv cm2)'!$B$2:$B$52,MATCH($C291,'hp (pSv cm2)'!$A$2:$A$52,1))+($C291-INDEX('hp (pSv cm2)'!$A$2:$A$52,MATCH($C291,'hp (pSv cm2)'!$A$2:$A$52,1)))*(INDEX('hp (pSv cm2)'!$B$2:$B$52,MATCH($C291,'hp (pSv cm2)'!$A$2:$A$52,1)+1)-INDEX('hp (pSv cm2)'!$B$2:$B$52,MATCH($C291,'hp (pSv cm2)'!$A$2:$A$52,1)))/(INDEX('hp (pSv cm2)'!$A$2:$A$52,MATCH($C291,'hp (pSv cm2)'!$A$2:$A$52,1)+1)-INDEX('hp (pSv cm2)'!$A$2:$A$52,MATCH($C291,'hp (pSv cm2)'!$A$2:$A$52,1))),$C291*'hp (pSv cm2)'!$B$2/'hp (pSv cm2)'!$A$2)</f>
        <v>1.6565099999999999</v>
      </c>
      <c r="G291" s="67">
        <f t="shared" si="21"/>
        <v>1.5074241E-4</v>
      </c>
      <c r="H291" s="83">
        <f>_xlfn.IFNA(0.997*(INDEX('Mass attenuation coefficients'!$B$2:$B$37,MATCH($C291,'Mass attenuation coefficients'!$A$2:$A$37,1))+($C291-INDEX('Mass attenuation coefficients'!$A$2:$A$37,MATCH($C291,'Mass attenuation coefficients'!$A$2:$A$37,1)))*(INDEX('Mass attenuation coefficients'!$B$2:$B$37,MATCH($C291,'Mass attenuation coefficients'!$A$2:$A$37,1)+1)-INDEX('Mass attenuation coefficients'!$B$2:$B$37,MATCH($C291,'Mass attenuation coefficients'!$A$2:$A$37,1)))/(INDEX('Mass attenuation coefficients'!$A$2:$A$37,MATCH($C291,'Mass attenuation coefficients'!$A$2:$A$37,1)+1)-INDEX('Mass attenuation coefficients'!$A$2:$A$37,MATCH($C291,'Mass attenuation coefficients'!$A$2:$A$37,1)))),0.997*$C291*'Mass attenuation coefficients'!$B$2/'Mass attenuation coefficients'!$A$2)</f>
        <v>0.1145179125</v>
      </c>
      <c r="I291" s="83">
        <f>_xlfn.IFNA(INDEX('Shultis Faw'!$C$2:$C$26,MATCH($C291,'Shultis Faw'!$A$2:$A$26,1))+($C291-INDEX('Shultis Faw'!$A$2:$A$26,MATCH($C291,'Shultis Faw'!$A$2:$A$26,1)))*(INDEX('Shultis Faw'!$C$2:$C$26,MATCH($C291,'Shultis Faw'!$A$2:$A$26,1)+1)-INDEX('Shultis Faw'!$C$2:$C$26,MATCH($C291,'Shultis Faw'!$A$2:$A$26,1)))/(INDEX('Shultis Faw'!$A$2:$A$26,MATCH($C291,'Shultis Faw'!$A$2:$A$26,1)+1)-INDEX('Shultis Faw'!$A$2:$A$26,MATCH($C291,'Shultis Faw'!$A$2:$A$26,1))),$C291*'Shultis Faw'!$C$2/'Shultis Faw'!$A$2)</f>
        <v>2.84226</v>
      </c>
      <c r="J291" s="83">
        <f>_xlfn.IFNA(INDEX('Shultis Faw'!$D$2:$D$26,MATCH($C291,'Shultis Faw'!$A$2:$A$26,1))+($C291-INDEX('Shultis Faw'!$A$2:$A$26,MATCH($C291,'Shultis Faw'!$A$2:$A$26,1)))*(INDEX('Shultis Faw'!$D$2:$D$26,MATCH($C291,'Shultis Faw'!$A$2:$A$26,1)+1)-INDEX('Shultis Faw'!$D$2:$D$26,MATCH($C291,'Shultis Faw'!$A$2:$A$26,1)))/(INDEX('Shultis Faw'!$A$2:$A$26,MATCH($C291,'Shultis Faw'!$A$2:$A$26,1)+1)-INDEX('Shultis Faw'!$A$2:$A$26,MATCH($C291,'Shultis Faw'!$A$2:$A$26,1))),$C291*'Shultis Faw'!$D$2/'Shultis Faw'!$A$2)</f>
        <v>1.9801399999999998</v>
      </c>
      <c r="K291" s="83">
        <f>_xlfn.IFNA(INDEX('Shultis Faw'!$B$2:$B$26,MATCH($C291,'Shultis Faw'!$A$2:$A$26,1))+($C291-INDEX('Shultis Faw'!$A$2:$A$26,MATCH($C291,'Shultis Faw'!$A$2:$A$26,1)))*(INDEX('Shultis Faw'!$B$2:$B$26,MATCH($C291,'Shultis Faw'!$A$2:$A$26,1)+1)-INDEX('Shultis Faw'!$B$2:$B$26,MATCH($C291,'Shultis Faw'!$A$2:$A$26,1)))/(INDEX('Shultis Faw'!$A$2:$A$26,MATCH($C291,'Shultis Faw'!$A$2:$A$26,1)+1)-INDEX('Shultis Faw'!$A$2:$A$26,MATCH($C291,'Shultis Faw'!$A$2:$A$26,1))),$C291*'Shultis Faw'!$B$2/'Shultis Faw'!$A$2)</f>
        <v>-0.15951500000000002</v>
      </c>
      <c r="L291" s="83">
        <f>_xlfn.IFNA(INDEX('Shultis Faw'!$E$2:$E$26,MATCH($C291,'Shultis Faw'!$A$2:$A$26,1))+($C291-INDEX('Shultis Faw'!$A$2:$A$26,MATCH($C291,'Shultis Faw'!$A$2:$A$26,1)))*(INDEX('Shultis Faw'!$E$2:$E$26,MATCH($C291,'Shultis Faw'!$A$2:$A$26,1)+1)-INDEX('Shultis Faw'!$E$2:$E$26,MATCH($C291,'Shultis Faw'!$A$2:$A$26,1)))/(INDEX('Shultis Faw'!$A$2:$A$26,MATCH($C291,'Shultis Faw'!$A$2:$A$26,1)+1)-INDEX('Shultis Faw'!$A$2:$A$26,MATCH($C291,'Shultis Faw'!$A$2:$A$26,1))),$C291*'Shultis Faw'!$E$2/'Shultis Faw'!$A$2)</f>
        <v>6.3705999999999999E-2</v>
      </c>
      <c r="M291" s="83">
        <f>_xlfn.IFNA(INDEX('Shultis Faw'!$F$2:$F$26,MATCH($C291,'Shultis Faw'!$A$2:$A$26,1))+($C291-INDEX('Shultis Faw'!$A$2:$A$26,MATCH($C291,'Shultis Faw'!$A$2:$A$26,1)))*(INDEX('Shultis Faw'!$F$2:$F$26,MATCH($C291,'Shultis Faw'!$A$2:$A$26,1)+1)-INDEX('Shultis Faw'!$F$2:$F$26,MATCH($C291,'Shultis Faw'!$A$2:$A$26,1)))/(INDEX('Shultis Faw'!$A$2:$A$26,MATCH($C291,'Shultis Faw'!$A$2:$A$26,1)+1)-INDEX('Shultis Faw'!$A$2:$A$26,MATCH($C291,'Shultis Faw'!$A$2:$A$26,1))),$C291*'Shultis Faw'!$F$2/'Shultis Faw'!$A$2)</f>
        <v>14.218970000000001</v>
      </c>
      <c r="N291" s="83">
        <f>J291*(H291*'Externe blootstelling'!$D$23/2)^K291+L291*(TANH(((H291*'Externe blootstelling'!$D$23)/(2*M291))-2)-TANH(-2))/(1-TANH(-2))</f>
        <v>1.8167284115194353</v>
      </c>
      <c r="O291" s="83">
        <f>IF(N291=1,1+(I291-1)*H291*'Externe blootstelling'!$D$23/2,1+(I291-1)*(N291^(H291*'Externe blootstelling'!$D$23/2)-1)/(N291-1))</f>
        <v>5.0346732165654533</v>
      </c>
      <c r="P291" s="67">
        <f>G291*EXP(-H291*'Externe blootstelling'!$D$23/2)*O291</f>
        <v>1.3620381727091232E-4</v>
      </c>
      <c r="Q291" s="68"/>
    </row>
    <row r="292" spans="1:17" x14ac:dyDescent="0.2">
      <c r="A292" s="217"/>
      <c r="B292" s="64" t="s">
        <v>104</v>
      </c>
      <c r="C292" s="66">
        <v>0.34672000000000003</v>
      </c>
      <c r="D292" s="66">
        <f t="shared" si="20"/>
        <v>5.5475199999999994E-14</v>
      </c>
      <c r="E292" s="66">
        <v>2.9E-4</v>
      </c>
      <c r="F292" s="66">
        <f>_xlfn.IFNA(INDEX('hp (pSv cm2)'!$B$2:$B$52,MATCH($C292,'hp (pSv cm2)'!$A$2:$A$52,1))+($C292-INDEX('hp (pSv cm2)'!$A$2:$A$52,MATCH($C292,'hp (pSv cm2)'!$A$2:$A$52,1)))*(INDEX('hp (pSv cm2)'!$B$2:$B$52,MATCH($C292,'hp (pSv cm2)'!$A$2:$A$52,1)+1)-INDEX('hp (pSv cm2)'!$B$2:$B$52,MATCH($C292,'hp (pSv cm2)'!$A$2:$A$52,1)))/(INDEX('hp (pSv cm2)'!$A$2:$A$52,MATCH($C292,'hp (pSv cm2)'!$A$2:$A$52,1)+1)-INDEX('hp (pSv cm2)'!$A$2:$A$52,MATCH($C292,'hp (pSv cm2)'!$A$2:$A$52,1))),$C292*'hp (pSv cm2)'!$B$2/'hp (pSv cm2)'!$A$2)</f>
        <v>1.738928</v>
      </c>
      <c r="G292" s="67">
        <f t="shared" si="21"/>
        <v>5.0428912000000006E-4</v>
      </c>
      <c r="H292" s="83">
        <f>_xlfn.IFNA(0.997*(INDEX('Mass attenuation coefficients'!$B$2:$B$37,MATCH($C292,'Mass attenuation coefficients'!$A$2:$A$37,1))+($C292-INDEX('Mass attenuation coefficients'!$A$2:$A$37,MATCH($C292,'Mass attenuation coefficients'!$A$2:$A$37,1)))*(INDEX('Mass attenuation coefficients'!$B$2:$B$37,MATCH($C292,'Mass attenuation coefficients'!$A$2:$A$37,1)+1)-INDEX('Mass attenuation coefficients'!$B$2:$B$37,MATCH($C292,'Mass attenuation coefficients'!$A$2:$A$37,1)))/(INDEX('Mass attenuation coefficients'!$A$2:$A$37,MATCH($C292,'Mass attenuation coefficients'!$A$2:$A$37,1)+1)-INDEX('Mass attenuation coefficients'!$A$2:$A$37,MATCH($C292,'Mass attenuation coefficients'!$A$2:$A$37,1)))),0.997*$C292*'Mass attenuation coefficients'!$B$2/'Mass attenuation coefficients'!$A$2)</f>
        <v>0.11242172</v>
      </c>
      <c r="I292" s="83">
        <f>_xlfn.IFNA(INDEX('Shultis Faw'!$C$2:$C$26,MATCH($C292,'Shultis Faw'!$A$2:$A$26,1))+($C292-INDEX('Shultis Faw'!$A$2:$A$26,MATCH($C292,'Shultis Faw'!$A$2:$A$26,1)))*(INDEX('Shultis Faw'!$C$2:$C$26,MATCH($C292,'Shultis Faw'!$A$2:$A$26,1)+1)-INDEX('Shultis Faw'!$C$2:$C$26,MATCH($C292,'Shultis Faw'!$A$2:$A$26,1)))/(INDEX('Shultis Faw'!$A$2:$A$26,MATCH($C292,'Shultis Faw'!$A$2:$A$26,1)+1)-INDEX('Shultis Faw'!$A$2:$A$26,MATCH($C292,'Shultis Faw'!$A$2:$A$26,1))),$C292*'Shultis Faw'!$C$2/'Shultis Faw'!$A$2)</f>
        <v>2.7985280000000001</v>
      </c>
      <c r="J292" s="83">
        <f>_xlfn.IFNA(INDEX('Shultis Faw'!$D$2:$D$26,MATCH($C292,'Shultis Faw'!$A$2:$A$26,1))+($C292-INDEX('Shultis Faw'!$A$2:$A$26,MATCH($C292,'Shultis Faw'!$A$2:$A$26,1)))*(INDEX('Shultis Faw'!$D$2:$D$26,MATCH($C292,'Shultis Faw'!$A$2:$A$26,1)+1)-INDEX('Shultis Faw'!$D$2:$D$26,MATCH($C292,'Shultis Faw'!$A$2:$A$26,1)))/(INDEX('Shultis Faw'!$A$2:$A$26,MATCH($C292,'Shultis Faw'!$A$2:$A$26,1)+1)-INDEX('Shultis Faw'!$A$2:$A$26,MATCH($C292,'Shultis Faw'!$A$2:$A$26,1))),$C292*'Shultis Faw'!$D$2/'Shultis Faw'!$A$2)</f>
        <v>1.9565919999999999</v>
      </c>
      <c r="K292" s="83">
        <f>_xlfn.IFNA(INDEX('Shultis Faw'!$B$2:$B$26,MATCH($C292,'Shultis Faw'!$A$2:$A$26,1))+($C292-INDEX('Shultis Faw'!$A$2:$A$26,MATCH($C292,'Shultis Faw'!$A$2:$A$26,1)))*(INDEX('Shultis Faw'!$B$2:$B$26,MATCH($C292,'Shultis Faw'!$A$2:$A$26,1)+1)-INDEX('Shultis Faw'!$B$2:$B$26,MATCH($C292,'Shultis Faw'!$A$2:$A$26,1)))/(INDEX('Shultis Faw'!$A$2:$A$26,MATCH($C292,'Shultis Faw'!$A$2:$A$26,1)+1)-INDEX('Shultis Faw'!$A$2:$A$26,MATCH($C292,'Shultis Faw'!$A$2:$A$26,1))),$C292*'Shultis Faw'!$B$2/'Shultis Faw'!$A$2)</f>
        <v>-0.15699199999999999</v>
      </c>
      <c r="L292" s="83">
        <f>_xlfn.IFNA(INDEX('Shultis Faw'!$E$2:$E$26,MATCH($C292,'Shultis Faw'!$A$2:$A$26,1))+($C292-INDEX('Shultis Faw'!$A$2:$A$26,MATCH($C292,'Shultis Faw'!$A$2:$A$26,1)))*(INDEX('Shultis Faw'!$E$2:$E$26,MATCH($C292,'Shultis Faw'!$A$2:$A$26,1)+1)-INDEX('Shultis Faw'!$E$2:$E$26,MATCH($C292,'Shultis Faw'!$A$2:$A$26,1)))/(INDEX('Shultis Faw'!$A$2:$A$26,MATCH($C292,'Shultis Faw'!$A$2:$A$26,1)+1)-INDEX('Shultis Faw'!$A$2:$A$26,MATCH($C292,'Shultis Faw'!$A$2:$A$26,1))),$C292*'Shultis Faw'!$E$2/'Shultis Faw'!$A$2)</f>
        <v>6.2696799999999997E-2</v>
      </c>
      <c r="M292" s="83">
        <f>_xlfn.IFNA(INDEX('Shultis Faw'!$F$2:$F$26,MATCH($C292,'Shultis Faw'!$A$2:$A$26,1))+($C292-INDEX('Shultis Faw'!$A$2:$A$26,MATCH($C292,'Shultis Faw'!$A$2:$A$26,1)))*(INDEX('Shultis Faw'!$F$2:$F$26,MATCH($C292,'Shultis Faw'!$A$2:$A$26,1)+1)-INDEX('Shultis Faw'!$F$2:$F$26,MATCH($C292,'Shultis Faw'!$A$2:$A$26,1)))/(INDEX('Shultis Faw'!$A$2:$A$26,MATCH($C292,'Shultis Faw'!$A$2:$A$26,1)+1)-INDEX('Shultis Faw'!$A$2:$A$26,MATCH($C292,'Shultis Faw'!$A$2:$A$26,1))),$C292*'Shultis Faw'!$F$2/'Shultis Faw'!$A$2)</f>
        <v>14.224016000000001</v>
      </c>
      <c r="N292" s="83">
        <f>J292*(H292*'Externe blootstelling'!$D$23/2)^K292+L292*(TANH(((H292*'Externe blootstelling'!$D$23)/(2*M292))-2)-TANH(-2))/(1-TANH(-2))</f>
        <v>1.8027878582415569</v>
      </c>
      <c r="O292" s="83">
        <f>IF(N292=1,1+(I292-1)*H292*'Externe blootstelling'!$D$23/2,1+(I292-1)*(N292^(H292*'Externe blootstelling'!$D$23/2)-1)/(N292-1))</f>
        <v>4.8119748903733957</v>
      </c>
      <c r="P292" s="67">
        <f>G292*EXP(-H292*'Externe blootstelling'!$D$23/2)*O292</f>
        <v>4.4940816774440495E-4</v>
      </c>
      <c r="Q292" s="68"/>
    </row>
    <row r="293" spans="1:17" x14ac:dyDescent="0.2">
      <c r="A293" s="217"/>
      <c r="B293" s="64" t="s">
        <v>104</v>
      </c>
      <c r="C293" s="66">
        <v>0.36820999999999998</v>
      </c>
      <c r="D293" s="66">
        <f t="shared" si="20"/>
        <v>5.8913599999999994E-14</v>
      </c>
      <c r="E293" s="66">
        <v>3.0000000000000001E-5</v>
      </c>
      <c r="F293" s="66">
        <f>_xlfn.IFNA(INDEX('hp (pSv cm2)'!$B$2:$B$52,MATCH($C293,'hp (pSv cm2)'!$A$2:$A$52,1))+($C293-INDEX('hp (pSv cm2)'!$A$2:$A$52,MATCH($C293,'hp (pSv cm2)'!$A$2:$A$52,1)))*(INDEX('hp (pSv cm2)'!$B$2:$B$52,MATCH($C293,'hp (pSv cm2)'!$A$2:$A$52,1)+1)-INDEX('hp (pSv cm2)'!$B$2:$B$52,MATCH($C293,'hp (pSv cm2)'!$A$2:$A$52,1)))/(INDEX('hp (pSv cm2)'!$A$2:$A$52,MATCH($C293,'hp (pSv cm2)'!$A$2:$A$52,1)+1)-INDEX('hp (pSv cm2)'!$A$2:$A$52,MATCH($C293,'hp (pSv cm2)'!$A$2:$A$52,1))),$C293*'hp (pSv cm2)'!$B$2/'hp (pSv cm2)'!$A$2)</f>
        <v>1.8442289999999999</v>
      </c>
      <c r="G293" s="67">
        <f t="shared" si="21"/>
        <v>5.5326869999999998E-5</v>
      </c>
      <c r="H293" s="83">
        <f>_xlfn.IFNA(0.997*(INDEX('Mass attenuation coefficients'!$B$2:$B$37,MATCH($C293,'Mass attenuation coefficients'!$A$2:$A$37,1))+($C293-INDEX('Mass attenuation coefficients'!$A$2:$A$37,MATCH($C293,'Mass attenuation coefficients'!$A$2:$A$37,1)))*(INDEX('Mass attenuation coefficients'!$B$2:$B$37,MATCH($C293,'Mass attenuation coefficients'!$A$2:$A$37,1)+1)-INDEX('Mass attenuation coefficients'!$B$2:$B$37,MATCH($C293,'Mass attenuation coefficients'!$A$2:$A$37,1)))/(INDEX('Mass attenuation coefficients'!$A$2:$A$37,MATCH($C293,'Mass attenuation coefficients'!$A$2:$A$37,1)+1)-INDEX('Mass attenuation coefficients'!$A$2:$A$37,MATCH($C293,'Mass attenuation coefficients'!$A$2:$A$37,1)))),0.997*$C293*'Mass attenuation coefficients'!$B$2/'Mass attenuation coefficients'!$A$2)</f>
        <v>0.10974352875</v>
      </c>
      <c r="I293" s="83">
        <f>_xlfn.IFNA(INDEX('Shultis Faw'!$C$2:$C$26,MATCH($C293,'Shultis Faw'!$A$2:$A$26,1))+($C293-INDEX('Shultis Faw'!$A$2:$A$26,MATCH($C293,'Shultis Faw'!$A$2:$A$26,1)))*(INDEX('Shultis Faw'!$C$2:$C$26,MATCH($C293,'Shultis Faw'!$A$2:$A$26,1)+1)-INDEX('Shultis Faw'!$C$2:$C$26,MATCH($C293,'Shultis Faw'!$A$2:$A$26,1)))/(INDEX('Shultis Faw'!$A$2:$A$26,MATCH($C293,'Shultis Faw'!$A$2:$A$26,1)+1)-INDEX('Shultis Faw'!$A$2:$A$26,MATCH($C293,'Shultis Faw'!$A$2:$A$26,1))),$C293*'Shultis Faw'!$C$2/'Shultis Faw'!$A$2)</f>
        <v>2.7426540000000004</v>
      </c>
      <c r="J293" s="83">
        <f>_xlfn.IFNA(INDEX('Shultis Faw'!$D$2:$D$26,MATCH($C293,'Shultis Faw'!$A$2:$A$26,1))+($C293-INDEX('Shultis Faw'!$A$2:$A$26,MATCH($C293,'Shultis Faw'!$A$2:$A$26,1)))*(INDEX('Shultis Faw'!$D$2:$D$26,MATCH($C293,'Shultis Faw'!$A$2:$A$26,1)+1)-INDEX('Shultis Faw'!$D$2:$D$26,MATCH($C293,'Shultis Faw'!$A$2:$A$26,1)))/(INDEX('Shultis Faw'!$A$2:$A$26,MATCH($C293,'Shultis Faw'!$A$2:$A$26,1)+1)-INDEX('Shultis Faw'!$A$2:$A$26,MATCH($C293,'Shultis Faw'!$A$2:$A$26,1))),$C293*'Shultis Faw'!$D$2/'Shultis Faw'!$A$2)</f>
        <v>1.9265059999999998</v>
      </c>
      <c r="K293" s="83">
        <f>_xlfn.IFNA(INDEX('Shultis Faw'!$B$2:$B$26,MATCH($C293,'Shultis Faw'!$A$2:$A$26,1))+($C293-INDEX('Shultis Faw'!$A$2:$A$26,MATCH($C293,'Shultis Faw'!$A$2:$A$26,1)))*(INDEX('Shultis Faw'!$B$2:$B$26,MATCH($C293,'Shultis Faw'!$A$2:$A$26,1)+1)-INDEX('Shultis Faw'!$B$2:$B$26,MATCH($C293,'Shultis Faw'!$A$2:$A$26,1)))/(INDEX('Shultis Faw'!$A$2:$A$26,MATCH($C293,'Shultis Faw'!$A$2:$A$26,1)+1)-INDEX('Shultis Faw'!$A$2:$A$26,MATCH($C293,'Shultis Faw'!$A$2:$A$26,1))),$C293*'Shultis Faw'!$B$2/'Shultis Faw'!$A$2)</f>
        <v>-0.1537685</v>
      </c>
      <c r="L293" s="83">
        <f>_xlfn.IFNA(INDEX('Shultis Faw'!$E$2:$E$26,MATCH($C293,'Shultis Faw'!$A$2:$A$26,1))+($C293-INDEX('Shultis Faw'!$A$2:$A$26,MATCH($C293,'Shultis Faw'!$A$2:$A$26,1)))*(INDEX('Shultis Faw'!$E$2:$E$26,MATCH($C293,'Shultis Faw'!$A$2:$A$26,1)+1)-INDEX('Shultis Faw'!$E$2:$E$26,MATCH($C293,'Shultis Faw'!$A$2:$A$26,1)))/(INDEX('Shultis Faw'!$A$2:$A$26,MATCH($C293,'Shultis Faw'!$A$2:$A$26,1)+1)-INDEX('Shultis Faw'!$A$2:$A$26,MATCH($C293,'Shultis Faw'!$A$2:$A$26,1))),$C293*'Shultis Faw'!$E$2/'Shultis Faw'!$A$2)</f>
        <v>6.1407400000000001E-2</v>
      </c>
      <c r="M293" s="83">
        <f>_xlfn.IFNA(INDEX('Shultis Faw'!$F$2:$F$26,MATCH($C293,'Shultis Faw'!$A$2:$A$26,1))+($C293-INDEX('Shultis Faw'!$A$2:$A$26,MATCH($C293,'Shultis Faw'!$A$2:$A$26,1)))*(INDEX('Shultis Faw'!$F$2:$F$26,MATCH($C293,'Shultis Faw'!$A$2:$A$26,1)+1)-INDEX('Shultis Faw'!$F$2:$F$26,MATCH($C293,'Shultis Faw'!$A$2:$A$26,1)))/(INDEX('Shultis Faw'!$A$2:$A$26,MATCH($C293,'Shultis Faw'!$A$2:$A$26,1)+1)-INDEX('Shultis Faw'!$A$2:$A$26,MATCH($C293,'Shultis Faw'!$A$2:$A$26,1))),$C293*'Shultis Faw'!$F$2/'Shultis Faw'!$A$2)</f>
        <v>14.230463</v>
      </c>
      <c r="N293" s="83">
        <f>J293*(H293*'Externe blootstelling'!$D$23/2)^K293+L293*(TANH(((H293*'Externe blootstelling'!$D$23)/(2*M293))-2)-TANH(-2))/(1-TANH(-2))</f>
        <v>1.7846527079509737</v>
      </c>
      <c r="O293" s="83">
        <f>IF(N293=1,1+(I293-1)*H293*'Externe blootstelling'!$D$23/2,1+(I293-1)*(N293^(H293*'Externe blootstelling'!$D$23/2)-1)/(N293-1))</f>
        <v>4.5418233321390762</v>
      </c>
      <c r="P293" s="67">
        <f>G293*EXP(-H293*'Externe blootstelling'!$D$23/2)*O293</f>
        <v>4.844525031529301E-5</v>
      </c>
      <c r="Q293" s="68"/>
    </row>
    <row r="294" spans="1:17" x14ac:dyDescent="0.2">
      <c r="A294" s="217"/>
      <c r="B294" s="64" t="s">
        <v>104</v>
      </c>
      <c r="C294" s="66">
        <v>0.37070999999999998</v>
      </c>
      <c r="D294" s="66">
        <f t="shared" si="20"/>
        <v>5.9313599999999997E-14</v>
      </c>
      <c r="E294" s="66">
        <v>5.5999999999999999E-5</v>
      </c>
      <c r="F294" s="66">
        <f>_xlfn.IFNA(INDEX('hp (pSv cm2)'!$B$2:$B$52,MATCH($C294,'hp (pSv cm2)'!$A$2:$A$52,1))+($C294-INDEX('hp (pSv cm2)'!$A$2:$A$52,MATCH($C294,'hp (pSv cm2)'!$A$2:$A$52,1)))*(INDEX('hp (pSv cm2)'!$B$2:$B$52,MATCH($C294,'hp (pSv cm2)'!$A$2:$A$52,1)+1)-INDEX('hp (pSv cm2)'!$B$2:$B$52,MATCH($C294,'hp (pSv cm2)'!$A$2:$A$52,1)))/(INDEX('hp (pSv cm2)'!$A$2:$A$52,MATCH($C294,'hp (pSv cm2)'!$A$2:$A$52,1)+1)-INDEX('hp (pSv cm2)'!$A$2:$A$52,MATCH($C294,'hp (pSv cm2)'!$A$2:$A$52,1))),$C294*'hp (pSv cm2)'!$B$2/'hp (pSv cm2)'!$A$2)</f>
        <v>1.8564789999999998</v>
      </c>
      <c r="G294" s="67">
        <f t="shared" si="21"/>
        <v>1.0396282399999998E-4</v>
      </c>
      <c r="H294" s="83">
        <f>_xlfn.IFNA(0.997*(INDEX('Mass attenuation coefficients'!$B$2:$B$37,MATCH($C294,'Mass attenuation coefficients'!$A$2:$A$37,1))+($C294-INDEX('Mass attenuation coefficients'!$A$2:$A$37,MATCH($C294,'Mass attenuation coefficients'!$A$2:$A$37,1)))*(INDEX('Mass attenuation coefficients'!$B$2:$B$37,MATCH($C294,'Mass attenuation coefficients'!$A$2:$A$37,1)+1)-INDEX('Mass attenuation coefficients'!$B$2:$B$37,MATCH($C294,'Mass attenuation coefficients'!$A$2:$A$37,1)))/(INDEX('Mass attenuation coefficients'!$A$2:$A$37,MATCH($C294,'Mass attenuation coefficients'!$A$2:$A$37,1)+1)-INDEX('Mass attenuation coefficients'!$A$2:$A$37,MATCH($C294,'Mass attenuation coefficients'!$A$2:$A$37,1)))),0.997*$C294*'Mass attenuation coefficients'!$B$2/'Mass attenuation coefficients'!$A$2)</f>
        <v>0.10943196625</v>
      </c>
      <c r="I294" s="83">
        <f>_xlfn.IFNA(INDEX('Shultis Faw'!$C$2:$C$26,MATCH($C294,'Shultis Faw'!$A$2:$A$26,1))+($C294-INDEX('Shultis Faw'!$A$2:$A$26,MATCH($C294,'Shultis Faw'!$A$2:$A$26,1)))*(INDEX('Shultis Faw'!$C$2:$C$26,MATCH($C294,'Shultis Faw'!$A$2:$A$26,1)+1)-INDEX('Shultis Faw'!$C$2:$C$26,MATCH($C294,'Shultis Faw'!$A$2:$A$26,1)))/(INDEX('Shultis Faw'!$A$2:$A$26,MATCH($C294,'Shultis Faw'!$A$2:$A$26,1)+1)-INDEX('Shultis Faw'!$A$2:$A$26,MATCH($C294,'Shultis Faw'!$A$2:$A$26,1))),$C294*'Shultis Faw'!$C$2/'Shultis Faw'!$A$2)</f>
        <v>2.736154</v>
      </c>
      <c r="J294" s="83">
        <f>_xlfn.IFNA(INDEX('Shultis Faw'!$D$2:$D$26,MATCH($C294,'Shultis Faw'!$A$2:$A$26,1))+($C294-INDEX('Shultis Faw'!$A$2:$A$26,MATCH($C294,'Shultis Faw'!$A$2:$A$26,1)))*(INDEX('Shultis Faw'!$D$2:$D$26,MATCH($C294,'Shultis Faw'!$A$2:$A$26,1)+1)-INDEX('Shultis Faw'!$D$2:$D$26,MATCH($C294,'Shultis Faw'!$A$2:$A$26,1)))/(INDEX('Shultis Faw'!$A$2:$A$26,MATCH($C294,'Shultis Faw'!$A$2:$A$26,1)+1)-INDEX('Shultis Faw'!$A$2:$A$26,MATCH($C294,'Shultis Faw'!$A$2:$A$26,1))),$C294*'Shultis Faw'!$D$2/'Shultis Faw'!$A$2)</f>
        <v>1.923006</v>
      </c>
      <c r="K294" s="83">
        <f>_xlfn.IFNA(INDEX('Shultis Faw'!$B$2:$B$26,MATCH($C294,'Shultis Faw'!$A$2:$A$26,1))+($C294-INDEX('Shultis Faw'!$A$2:$A$26,MATCH($C294,'Shultis Faw'!$A$2:$A$26,1)))*(INDEX('Shultis Faw'!$B$2:$B$26,MATCH($C294,'Shultis Faw'!$A$2:$A$26,1)+1)-INDEX('Shultis Faw'!$B$2:$B$26,MATCH($C294,'Shultis Faw'!$A$2:$A$26,1)))/(INDEX('Shultis Faw'!$A$2:$A$26,MATCH($C294,'Shultis Faw'!$A$2:$A$26,1)+1)-INDEX('Shultis Faw'!$A$2:$A$26,MATCH($C294,'Shultis Faw'!$A$2:$A$26,1))),$C294*'Shultis Faw'!$B$2/'Shultis Faw'!$A$2)</f>
        <v>-0.15339350000000002</v>
      </c>
      <c r="L294" s="83">
        <f>_xlfn.IFNA(INDEX('Shultis Faw'!$E$2:$E$26,MATCH($C294,'Shultis Faw'!$A$2:$A$26,1))+($C294-INDEX('Shultis Faw'!$A$2:$A$26,MATCH($C294,'Shultis Faw'!$A$2:$A$26,1)))*(INDEX('Shultis Faw'!$E$2:$E$26,MATCH($C294,'Shultis Faw'!$A$2:$A$26,1)+1)-INDEX('Shultis Faw'!$E$2:$E$26,MATCH($C294,'Shultis Faw'!$A$2:$A$26,1)))/(INDEX('Shultis Faw'!$A$2:$A$26,MATCH($C294,'Shultis Faw'!$A$2:$A$26,1)+1)-INDEX('Shultis Faw'!$A$2:$A$26,MATCH($C294,'Shultis Faw'!$A$2:$A$26,1))),$C294*'Shultis Faw'!$E$2/'Shultis Faw'!$A$2)</f>
        <v>6.1257400000000004E-2</v>
      </c>
      <c r="M294" s="83">
        <f>_xlfn.IFNA(INDEX('Shultis Faw'!$F$2:$F$26,MATCH($C294,'Shultis Faw'!$A$2:$A$26,1))+($C294-INDEX('Shultis Faw'!$A$2:$A$26,MATCH($C294,'Shultis Faw'!$A$2:$A$26,1)))*(INDEX('Shultis Faw'!$F$2:$F$26,MATCH($C294,'Shultis Faw'!$A$2:$A$26,1)+1)-INDEX('Shultis Faw'!$F$2:$F$26,MATCH($C294,'Shultis Faw'!$A$2:$A$26,1)))/(INDEX('Shultis Faw'!$A$2:$A$26,MATCH($C294,'Shultis Faw'!$A$2:$A$26,1)+1)-INDEX('Shultis Faw'!$A$2:$A$26,MATCH($C294,'Shultis Faw'!$A$2:$A$26,1))),$C294*'Shultis Faw'!$F$2/'Shultis Faw'!$A$2)</f>
        <v>14.231213</v>
      </c>
      <c r="N294" s="83">
        <f>J294*(H294*'Externe blootstelling'!$D$23/2)^K294+L294*(TANH(((H294*'Externe blootstelling'!$D$23)/(2*M294))-2)-TANH(-2))/(1-TANH(-2))</f>
        <v>1.7825193439142815</v>
      </c>
      <c r="O294" s="83">
        <f>IF(N294=1,1+(I294-1)*H294*'Externe blootstelling'!$D$23/2,1+(I294-1)*(N294^(H294*'Externe blootstelling'!$D$23/2)-1)/(N294-1))</f>
        <v>4.5114084009129076</v>
      </c>
      <c r="P294" s="67">
        <f>G294*EXP(-H294*'Externe blootstelling'!$D$23/2)*O294</f>
        <v>9.0845773200906108E-5</v>
      </c>
      <c r="Q294" s="68"/>
    </row>
    <row r="295" spans="1:17" x14ac:dyDescent="0.2">
      <c r="A295" s="217"/>
      <c r="B295" s="64" t="s">
        <v>104</v>
      </c>
      <c r="C295" s="66">
        <v>0.37519999999999998</v>
      </c>
      <c r="D295" s="66">
        <f t="shared" si="20"/>
        <v>6.0031999999999991E-14</v>
      </c>
      <c r="E295" s="66">
        <v>2.0000000000000002E-5</v>
      </c>
      <c r="F295" s="66">
        <f>_xlfn.IFNA(INDEX('hp (pSv cm2)'!$B$2:$B$52,MATCH($C295,'hp (pSv cm2)'!$A$2:$A$52,1))+($C295-INDEX('hp (pSv cm2)'!$A$2:$A$52,MATCH($C295,'hp (pSv cm2)'!$A$2:$A$52,1)))*(INDEX('hp (pSv cm2)'!$B$2:$B$52,MATCH($C295,'hp (pSv cm2)'!$A$2:$A$52,1)+1)-INDEX('hp (pSv cm2)'!$B$2:$B$52,MATCH($C295,'hp (pSv cm2)'!$A$2:$A$52,1)))/(INDEX('hp (pSv cm2)'!$A$2:$A$52,MATCH($C295,'hp (pSv cm2)'!$A$2:$A$52,1)+1)-INDEX('hp (pSv cm2)'!$A$2:$A$52,MATCH($C295,'hp (pSv cm2)'!$A$2:$A$52,1))),$C295*'hp (pSv cm2)'!$B$2/'hp (pSv cm2)'!$A$2)</f>
        <v>1.8784799999999997</v>
      </c>
      <c r="G295" s="67">
        <f t="shared" si="21"/>
        <v>3.75696E-5</v>
      </c>
      <c r="H295" s="83">
        <f>_xlfn.IFNA(0.997*(INDEX('Mass attenuation coefficients'!$B$2:$B$37,MATCH($C295,'Mass attenuation coefficients'!$A$2:$A$37,1))+($C295-INDEX('Mass attenuation coefficients'!$A$2:$A$37,MATCH($C295,'Mass attenuation coefficients'!$A$2:$A$37,1)))*(INDEX('Mass attenuation coefficients'!$B$2:$B$37,MATCH($C295,'Mass attenuation coefficients'!$A$2:$A$37,1)+1)-INDEX('Mass attenuation coefficients'!$B$2:$B$37,MATCH($C295,'Mass attenuation coefficients'!$A$2:$A$37,1)))/(INDEX('Mass attenuation coefficients'!$A$2:$A$37,MATCH($C295,'Mass attenuation coefficients'!$A$2:$A$37,1)+1)-INDEX('Mass attenuation coefficients'!$A$2:$A$37,MATCH($C295,'Mass attenuation coefficients'!$A$2:$A$37,1)))),0.997*$C295*'Mass attenuation coefficients'!$B$2/'Mass attenuation coefficients'!$A$2)</f>
        <v>0.10887240000000001</v>
      </c>
      <c r="I295" s="83">
        <f>_xlfn.IFNA(INDEX('Shultis Faw'!$C$2:$C$26,MATCH($C295,'Shultis Faw'!$A$2:$A$26,1))+($C295-INDEX('Shultis Faw'!$A$2:$A$26,MATCH($C295,'Shultis Faw'!$A$2:$A$26,1)))*(INDEX('Shultis Faw'!$C$2:$C$26,MATCH($C295,'Shultis Faw'!$A$2:$A$26,1)+1)-INDEX('Shultis Faw'!$C$2:$C$26,MATCH($C295,'Shultis Faw'!$A$2:$A$26,1)))/(INDEX('Shultis Faw'!$A$2:$A$26,MATCH($C295,'Shultis Faw'!$A$2:$A$26,1)+1)-INDEX('Shultis Faw'!$A$2:$A$26,MATCH($C295,'Shultis Faw'!$A$2:$A$26,1))),$C295*'Shultis Faw'!$C$2/'Shultis Faw'!$A$2)</f>
        <v>2.7244800000000002</v>
      </c>
      <c r="J295" s="83">
        <f>_xlfn.IFNA(INDEX('Shultis Faw'!$D$2:$D$26,MATCH($C295,'Shultis Faw'!$A$2:$A$26,1))+($C295-INDEX('Shultis Faw'!$A$2:$A$26,MATCH($C295,'Shultis Faw'!$A$2:$A$26,1)))*(INDEX('Shultis Faw'!$D$2:$D$26,MATCH($C295,'Shultis Faw'!$A$2:$A$26,1)+1)-INDEX('Shultis Faw'!$D$2:$D$26,MATCH($C295,'Shultis Faw'!$A$2:$A$26,1)))/(INDEX('Shultis Faw'!$A$2:$A$26,MATCH($C295,'Shultis Faw'!$A$2:$A$26,1)+1)-INDEX('Shultis Faw'!$A$2:$A$26,MATCH($C295,'Shultis Faw'!$A$2:$A$26,1))),$C295*'Shultis Faw'!$D$2/'Shultis Faw'!$A$2)</f>
        <v>1.91672</v>
      </c>
      <c r="K295" s="83">
        <f>_xlfn.IFNA(INDEX('Shultis Faw'!$B$2:$B$26,MATCH($C295,'Shultis Faw'!$A$2:$A$26,1))+($C295-INDEX('Shultis Faw'!$A$2:$A$26,MATCH($C295,'Shultis Faw'!$A$2:$A$26,1)))*(INDEX('Shultis Faw'!$B$2:$B$26,MATCH($C295,'Shultis Faw'!$A$2:$A$26,1)+1)-INDEX('Shultis Faw'!$B$2:$B$26,MATCH($C295,'Shultis Faw'!$A$2:$A$26,1)))/(INDEX('Shultis Faw'!$A$2:$A$26,MATCH($C295,'Shultis Faw'!$A$2:$A$26,1)+1)-INDEX('Shultis Faw'!$A$2:$A$26,MATCH($C295,'Shultis Faw'!$A$2:$A$26,1))),$C295*'Shultis Faw'!$B$2/'Shultis Faw'!$A$2)</f>
        <v>-0.15271999999999999</v>
      </c>
      <c r="L295" s="83">
        <f>_xlfn.IFNA(INDEX('Shultis Faw'!$E$2:$E$26,MATCH($C295,'Shultis Faw'!$A$2:$A$26,1))+($C295-INDEX('Shultis Faw'!$A$2:$A$26,MATCH($C295,'Shultis Faw'!$A$2:$A$26,1)))*(INDEX('Shultis Faw'!$E$2:$E$26,MATCH($C295,'Shultis Faw'!$A$2:$A$26,1)+1)-INDEX('Shultis Faw'!$E$2:$E$26,MATCH($C295,'Shultis Faw'!$A$2:$A$26,1)))/(INDEX('Shultis Faw'!$A$2:$A$26,MATCH($C295,'Shultis Faw'!$A$2:$A$26,1)+1)-INDEX('Shultis Faw'!$A$2:$A$26,MATCH($C295,'Shultis Faw'!$A$2:$A$26,1))),$C295*'Shultis Faw'!$E$2/'Shultis Faw'!$A$2)</f>
        <v>6.0988000000000001E-2</v>
      </c>
      <c r="M295" s="83">
        <f>_xlfn.IFNA(INDEX('Shultis Faw'!$F$2:$F$26,MATCH($C295,'Shultis Faw'!$A$2:$A$26,1))+($C295-INDEX('Shultis Faw'!$A$2:$A$26,MATCH($C295,'Shultis Faw'!$A$2:$A$26,1)))*(INDEX('Shultis Faw'!$F$2:$F$26,MATCH($C295,'Shultis Faw'!$A$2:$A$26,1)+1)-INDEX('Shultis Faw'!$F$2:$F$26,MATCH($C295,'Shultis Faw'!$A$2:$A$26,1)))/(INDEX('Shultis Faw'!$A$2:$A$26,MATCH($C295,'Shultis Faw'!$A$2:$A$26,1)+1)-INDEX('Shultis Faw'!$A$2:$A$26,MATCH($C295,'Shultis Faw'!$A$2:$A$26,1))),$C295*'Shultis Faw'!$F$2/'Shultis Faw'!$A$2)</f>
        <v>14.232560000000001</v>
      </c>
      <c r="N295" s="83">
        <f>J295*(H295*'Externe blootstelling'!$D$23/2)^K295+L295*(TANH(((H295*'Externe blootstelling'!$D$23)/(2*M295))-2)-TANH(-2))/(1-TANH(-2))</f>
        <v>1.7786754363813684</v>
      </c>
      <c r="O295" s="83">
        <f>IF(N295=1,1+(I295-1)*H295*'Externe blootstelling'!$D$23/2,1+(I295-1)*(N295^(H295*'Externe blootstelling'!$D$23/2)-1)/(N295-1))</f>
        <v>4.457300754498343</v>
      </c>
      <c r="P295" s="67">
        <f>G295*EXP(-H295*'Externe blootstelling'!$D$23/2)*O295</f>
        <v>3.270907569412925E-5</v>
      </c>
      <c r="Q295" s="68"/>
    </row>
    <row r="296" spans="1:17" x14ac:dyDescent="0.2">
      <c r="A296" s="217"/>
      <c r="B296" s="64" t="s">
        <v>104</v>
      </c>
      <c r="C296" s="66">
        <v>0.38200000000000001</v>
      </c>
      <c r="D296" s="66">
        <f t="shared" si="20"/>
        <v>6.1119999999999996E-14</v>
      </c>
      <c r="E296" s="66">
        <v>9.9000000000000008E-5</v>
      </c>
      <c r="F296" s="66">
        <f>_xlfn.IFNA(INDEX('hp (pSv cm2)'!$B$2:$B$52,MATCH($C296,'hp (pSv cm2)'!$A$2:$A$52,1))+($C296-INDEX('hp (pSv cm2)'!$A$2:$A$52,MATCH($C296,'hp (pSv cm2)'!$A$2:$A$52,1)))*(INDEX('hp (pSv cm2)'!$B$2:$B$52,MATCH($C296,'hp (pSv cm2)'!$A$2:$A$52,1)+1)-INDEX('hp (pSv cm2)'!$B$2:$B$52,MATCH($C296,'hp (pSv cm2)'!$A$2:$A$52,1)))/(INDEX('hp (pSv cm2)'!$A$2:$A$52,MATCH($C296,'hp (pSv cm2)'!$A$2:$A$52,1)+1)-INDEX('hp (pSv cm2)'!$A$2:$A$52,MATCH($C296,'hp (pSv cm2)'!$A$2:$A$52,1))),$C296*'hp (pSv cm2)'!$B$2/'hp (pSv cm2)'!$A$2)</f>
        <v>1.9117999999999999</v>
      </c>
      <c r="G296" s="67">
        <f t="shared" si="21"/>
        <v>1.8926820000000002E-4</v>
      </c>
      <c r="H296" s="83">
        <f>_xlfn.IFNA(0.997*(INDEX('Mass attenuation coefficients'!$B$2:$B$37,MATCH($C296,'Mass attenuation coefficients'!$A$2:$A$37,1))+($C296-INDEX('Mass attenuation coefficients'!$A$2:$A$37,MATCH($C296,'Mass attenuation coefficients'!$A$2:$A$37,1)))*(INDEX('Mass attenuation coefficients'!$B$2:$B$37,MATCH($C296,'Mass attenuation coefficients'!$A$2:$A$37,1)+1)-INDEX('Mass attenuation coefficients'!$B$2:$B$37,MATCH($C296,'Mass attenuation coefficients'!$A$2:$A$37,1)))/(INDEX('Mass attenuation coefficients'!$A$2:$A$37,MATCH($C296,'Mass attenuation coefficients'!$A$2:$A$37,1)+1)-INDEX('Mass attenuation coefficients'!$A$2:$A$37,MATCH($C296,'Mass attenuation coefficients'!$A$2:$A$37,1)))),0.997*$C296*'Mass attenuation coefficients'!$B$2/'Mass attenuation coefficients'!$A$2)</f>
        <v>0.10802495000000001</v>
      </c>
      <c r="I296" s="83">
        <f>_xlfn.IFNA(INDEX('Shultis Faw'!$C$2:$C$26,MATCH($C296,'Shultis Faw'!$A$2:$A$26,1))+($C296-INDEX('Shultis Faw'!$A$2:$A$26,MATCH($C296,'Shultis Faw'!$A$2:$A$26,1)))*(INDEX('Shultis Faw'!$C$2:$C$26,MATCH($C296,'Shultis Faw'!$A$2:$A$26,1)+1)-INDEX('Shultis Faw'!$C$2:$C$26,MATCH($C296,'Shultis Faw'!$A$2:$A$26,1)))/(INDEX('Shultis Faw'!$A$2:$A$26,MATCH($C296,'Shultis Faw'!$A$2:$A$26,1)+1)-INDEX('Shultis Faw'!$A$2:$A$26,MATCH($C296,'Shultis Faw'!$A$2:$A$26,1))),$C296*'Shultis Faw'!$C$2/'Shultis Faw'!$A$2)</f>
        <v>2.7068000000000003</v>
      </c>
      <c r="J296" s="83">
        <f>_xlfn.IFNA(INDEX('Shultis Faw'!$D$2:$D$26,MATCH($C296,'Shultis Faw'!$A$2:$A$26,1))+($C296-INDEX('Shultis Faw'!$A$2:$A$26,MATCH($C296,'Shultis Faw'!$A$2:$A$26,1)))*(INDEX('Shultis Faw'!$D$2:$D$26,MATCH($C296,'Shultis Faw'!$A$2:$A$26,1)+1)-INDEX('Shultis Faw'!$D$2:$D$26,MATCH($C296,'Shultis Faw'!$A$2:$A$26,1)))/(INDEX('Shultis Faw'!$A$2:$A$26,MATCH($C296,'Shultis Faw'!$A$2:$A$26,1)+1)-INDEX('Shultis Faw'!$A$2:$A$26,MATCH($C296,'Shultis Faw'!$A$2:$A$26,1))),$C296*'Shultis Faw'!$D$2/'Shultis Faw'!$A$2)</f>
        <v>1.9072</v>
      </c>
      <c r="K296" s="83">
        <f>_xlfn.IFNA(INDEX('Shultis Faw'!$B$2:$B$26,MATCH($C296,'Shultis Faw'!$A$2:$A$26,1))+($C296-INDEX('Shultis Faw'!$A$2:$A$26,MATCH($C296,'Shultis Faw'!$A$2:$A$26,1)))*(INDEX('Shultis Faw'!$B$2:$B$26,MATCH($C296,'Shultis Faw'!$A$2:$A$26,1)+1)-INDEX('Shultis Faw'!$B$2:$B$26,MATCH($C296,'Shultis Faw'!$A$2:$A$26,1)))/(INDEX('Shultis Faw'!$A$2:$A$26,MATCH($C296,'Shultis Faw'!$A$2:$A$26,1)+1)-INDEX('Shultis Faw'!$A$2:$A$26,MATCH($C296,'Shultis Faw'!$A$2:$A$26,1))),$C296*'Shultis Faw'!$B$2/'Shultis Faw'!$A$2)</f>
        <v>-0.1517</v>
      </c>
      <c r="L296" s="83">
        <f>_xlfn.IFNA(INDEX('Shultis Faw'!$E$2:$E$26,MATCH($C296,'Shultis Faw'!$A$2:$A$26,1))+($C296-INDEX('Shultis Faw'!$A$2:$A$26,MATCH($C296,'Shultis Faw'!$A$2:$A$26,1)))*(INDEX('Shultis Faw'!$E$2:$E$26,MATCH($C296,'Shultis Faw'!$A$2:$A$26,1)+1)-INDEX('Shultis Faw'!$E$2:$E$26,MATCH($C296,'Shultis Faw'!$A$2:$A$26,1)))/(INDEX('Shultis Faw'!$A$2:$A$26,MATCH($C296,'Shultis Faw'!$A$2:$A$26,1)+1)-INDEX('Shultis Faw'!$A$2:$A$26,MATCH($C296,'Shultis Faw'!$A$2:$A$26,1))),$C296*'Shultis Faw'!$E$2/'Shultis Faw'!$A$2)</f>
        <v>6.0579999999999995E-2</v>
      </c>
      <c r="M296" s="83">
        <f>_xlfn.IFNA(INDEX('Shultis Faw'!$F$2:$F$26,MATCH($C296,'Shultis Faw'!$A$2:$A$26,1))+($C296-INDEX('Shultis Faw'!$A$2:$A$26,MATCH($C296,'Shultis Faw'!$A$2:$A$26,1)))*(INDEX('Shultis Faw'!$F$2:$F$26,MATCH($C296,'Shultis Faw'!$A$2:$A$26,1)+1)-INDEX('Shultis Faw'!$F$2:$F$26,MATCH($C296,'Shultis Faw'!$A$2:$A$26,1)))/(INDEX('Shultis Faw'!$A$2:$A$26,MATCH($C296,'Shultis Faw'!$A$2:$A$26,1)+1)-INDEX('Shultis Faw'!$A$2:$A$26,MATCH($C296,'Shultis Faw'!$A$2:$A$26,1))),$C296*'Shultis Faw'!$F$2/'Shultis Faw'!$A$2)</f>
        <v>14.2346</v>
      </c>
      <c r="N296" s="83">
        <f>J296*(H296*'Externe blootstelling'!$D$23/2)^K296+L296*(TANH(((H296*'Externe blootstelling'!$D$23)/(2*M296))-2)-TANH(-2))/(1-TANH(-2))</f>
        <v>1.7728236172064127</v>
      </c>
      <c r="O296" s="83">
        <f>IF(N296=1,1+(I296-1)*H296*'Externe blootstelling'!$D$23/2,1+(I296-1)*(N296^(H296*'Externe blootstelling'!$D$23/2)-1)/(N296-1))</f>
        <v>4.376607701470113</v>
      </c>
      <c r="P296" s="67">
        <f>G296*EXP(-H296*'Externe blootstelling'!$D$23/2)*O296</f>
        <v>1.6386857485388545E-4</v>
      </c>
      <c r="Q296" s="68"/>
    </row>
    <row r="297" spans="1:17" x14ac:dyDescent="0.2">
      <c r="A297" s="217"/>
      <c r="B297" s="64" t="s">
        <v>104</v>
      </c>
      <c r="C297" s="66">
        <v>0.39710000000000001</v>
      </c>
      <c r="D297" s="66">
        <f t="shared" si="20"/>
        <v>6.3536000000000001E-14</v>
      </c>
      <c r="E297" s="66">
        <v>2.9E-4</v>
      </c>
      <c r="F297" s="66">
        <f>_xlfn.IFNA(INDEX('hp (pSv cm2)'!$B$2:$B$52,MATCH($C297,'hp (pSv cm2)'!$A$2:$A$52,1))+($C297-INDEX('hp (pSv cm2)'!$A$2:$A$52,MATCH($C297,'hp (pSv cm2)'!$A$2:$A$52,1)))*(INDEX('hp (pSv cm2)'!$B$2:$B$52,MATCH($C297,'hp (pSv cm2)'!$A$2:$A$52,1)+1)-INDEX('hp (pSv cm2)'!$B$2:$B$52,MATCH($C297,'hp (pSv cm2)'!$A$2:$A$52,1)))/(INDEX('hp (pSv cm2)'!$A$2:$A$52,MATCH($C297,'hp (pSv cm2)'!$A$2:$A$52,1)+1)-INDEX('hp (pSv cm2)'!$A$2:$A$52,MATCH($C297,'hp (pSv cm2)'!$A$2:$A$52,1))),$C297*'hp (pSv cm2)'!$B$2/'hp (pSv cm2)'!$A$2)</f>
        <v>1.9857899999999999</v>
      </c>
      <c r="G297" s="67">
        <f t="shared" si="21"/>
        <v>5.7587909999999999E-4</v>
      </c>
      <c r="H297" s="83">
        <f>_xlfn.IFNA(0.997*(INDEX('Mass attenuation coefficients'!$B$2:$B$37,MATCH($C297,'Mass attenuation coefficients'!$A$2:$A$37,1))+($C297-INDEX('Mass attenuation coefficients'!$A$2:$A$37,MATCH($C297,'Mass attenuation coefficients'!$A$2:$A$37,1)))*(INDEX('Mass attenuation coefficients'!$B$2:$B$37,MATCH($C297,'Mass attenuation coefficients'!$A$2:$A$37,1)+1)-INDEX('Mass attenuation coefficients'!$B$2:$B$37,MATCH($C297,'Mass attenuation coefficients'!$A$2:$A$37,1)))/(INDEX('Mass attenuation coefficients'!$A$2:$A$37,MATCH($C297,'Mass attenuation coefficients'!$A$2:$A$37,1)+1)-INDEX('Mass attenuation coefficients'!$A$2:$A$37,MATCH($C297,'Mass attenuation coefficients'!$A$2:$A$37,1)))),0.997*$C297*'Mass attenuation coefficients'!$B$2/'Mass attenuation coefficients'!$A$2)</f>
        <v>0.1061431125</v>
      </c>
      <c r="I297" s="83">
        <f>_xlfn.IFNA(INDEX('Shultis Faw'!$C$2:$C$26,MATCH($C297,'Shultis Faw'!$A$2:$A$26,1))+($C297-INDEX('Shultis Faw'!$A$2:$A$26,MATCH($C297,'Shultis Faw'!$A$2:$A$26,1)))*(INDEX('Shultis Faw'!$C$2:$C$26,MATCH($C297,'Shultis Faw'!$A$2:$A$26,1)+1)-INDEX('Shultis Faw'!$C$2:$C$26,MATCH($C297,'Shultis Faw'!$A$2:$A$26,1)))/(INDEX('Shultis Faw'!$A$2:$A$26,MATCH($C297,'Shultis Faw'!$A$2:$A$26,1)+1)-INDEX('Shultis Faw'!$A$2:$A$26,MATCH($C297,'Shultis Faw'!$A$2:$A$26,1))),$C297*'Shultis Faw'!$C$2/'Shultis Faw'!$A$2)</f>
        <v>2.6675400000000002</v>
      </c>
      <c r="J297" s="83">
        <f>_xlfn.IFNA(INDEX('Shultis Faw'!$D$2:$D$26,MATCH($C297,'Shultis Faw'!$A$2:$A$26,1))+($C297-INDEX('Shultis Faw'!$A$2:$A$26,MATCH($C297,'Shultis Faw'!$A$2:$A$26,1)))*(INDEX('Shultis Faw'!$D$2:$D$26,MATCH($C297,'Shultis Faw'!$A$2:$A$26,1)+1)-INDEX('Shultis Faw'!$D$2:$D$26,MATCH($C297,'Shultis Faw'!$A$2:$A$26,1)))/(INDEX('Shultis Faw'!$A$2:$A$26,MATCH($C297,'Shultis Faw'!$A$2:$A$26,1)+1)-INDEX('Shultis Faw'!$A$2:$A$26,MATCH($C297,'Shultis Faw'!$A$2:$A$26,1))),$C297*'Shultis Faw'!$D$2/'Shultis Faw'!$A$2)</f>
        <v>1.8860599999999998</v>
      </c>
      <c r="K297" s="83">
        <f>_xlfn.IFNA(INDEX('Shultis Faw'!$B$2:$B$26,MATCH($C297,'Shultis Faw'!$A$2:$A$26,1))+($C297-INDEX('Shultis Faw'!$A$2:$A$26,MATCH($C297,'Shultis Faw'!$A$2:$A$26,1)))*(INDEX('Shultis Faw'!$B$2:$B$26,MATCH($C297,'Shultis Faw'!$A$2:$A$26,1)+1)-INDEX('Shultis Faw'!$B$2:$B$26,MATCH($C297,'Shultis Faw'!$A$2:$A$26,1)))/(INDEX('Shultis Faw'!$A$2:$A$26,MATCH($C297,'Shultis Faw'!$A$2:$A$26,1)+1)-INDEX('Shultis Faw'!$A$2:$A$26,MATCH($C297,'Shultis Faw'!$A$2:$A$26,1))),$C297*'Shultis Faw'!$B$2/'Shultis Faw'!$A$2)</f>
        <v>-0.14943499999999998</v>
      </c>
      <c r="L297" s="83">
        <f>_xlfn.IFNA(INDEX('Shultis Faw'!$E$2:$E$26,MATCH($C297,'Shultis Faw'!$A$2:$A$26,1))+($C297-INDEX('Shultis Faw'!$A$2:$A$26,MATCH($C297,'Shultis Faw'!$A$2:$A$26,1)))*(INDEX('Shultis Faw'!$E$2:$E$26,MATCH($C297,'Shultis Faw'!$A$2:$A$26,1)+1)-INDEX('Shultis Faw'!$E$2:$E$26,MATCH($C297,'Shultis Faw'!$A$2:$A$26,1)))/(INDEX('Shultis Faw'!$A$2:$A$26,MATCH($C297,'Shultis Faw'!$A$2:$A$26,1)+1)-INDEX('Shultis Faw'!$A$2:$A$26,MATCH($C297,'Shultis Faw'!$A$2:$A$26,1))),$C297*'Shultis Faw'!$E$2/'Shultis Faw'!$A$2)</f>
        <v>5.9673999999999998E-2</v>
      </c>
      <c r="M297" s="83">
        <f>_xlfn.IFNA(INDEX('Shultis Faw'!$F$2:$F$26,MATCH($C297,'Shultis Faw'!$A$2:$A$26,1))+($C297-INDEX('Shultis Faw'!$A$2:$A$26,MATCH($C297,'Shultis Faw'!$A$2:$A$26,1)))*(INDEX('Shultis Faw'!$F$2:$F$26,MATCH($C297,'Shultis Faw'!$A$2:$A$26,1)+1)-INDEX('Shultis Faw'!$F$2:$F$26,MATCH($C297,'Shultis Faw'!$A$2:$A$26,1)))/(INDEX('Shultis Faw'!$A$2:$A$26,MATCH($C297,'Shultis Faw'!$A$2:$A$26,1)+1)-INDEX('Shultis Faw'!$A$2:$A$26,MATCH($C297,'Shultis Faw'!$A$2:$A$26,1))),$C297*'Shultis Faw'!$F$2/'Shultis Faw'!$A$2)</f>
        <v>14.239129999999999</v>
      </c>
      <c r="N297" s="83">
        <f>J297*(H297*'Externe blootstelling'!$D$23/2)^K297+L297*(TANH(((H297*'Externe blootstelling'!$D$23)/(2*M297))-2)-TANH(-2))/(1-TANH(-2))</f>
        <v>1.7596984635219248</v>
      </c>
      <c r="O297" s="83">
        <f>IF(N297=1,1+(I297-1)*H297*'Externe blootstelling'!$D$23/2,1+(I297-1)*(N297^(H297*'Externe blootstelling'!$D$23/2)-1)/(N297-1))</f>
        <v>4.2026972063615204</v>
      </c>
      <c r="P297" s="67">
        <f>G297*EXP(-H297*'Externe blootstelling'!$D$23/2)*O297</f>
        <v>4.9249167971732719E-4</v>
      </c>
      <c r="Q297" s="68"/>
    </row>
    <row r="298" spans="1:17" x14ac:dyDescent="0.2">
      <c r="A298" s="217"/>
      <c r="B298" s="64" t="s">
        <v>104</v>
      </c>
      <c r="C298" s="66">
        <v>0.40125900000000003</v>
      </c>
      <c r="D298" s="66">
        <f t="shared" si="20"/>
        <v>6.420144E-14</v>
      </c>
      <c r="E298" s="66">
        <v>1.89E-3</v>
      </c>
      <c r="F298" s="66">
        <f>_xlfn.IFNA(INDEX('hp (pSv cm2)'!$B$2:$B$52,MATCH($C298,'hp (pSv cm2)'!$A$2:$A$52,1))+($C298-INDEX('hp (pSv cm2)'!$A$2:$A$52,MATCH($C298,'hp (pSv cm2)'!$A$2:$A$52,1)))*(INDEX('hp (pSv cm2)'!$B$2:$B$52,MATCH($C298,'hp (pSv cm2)'!$A$2:$A$52,1)+1)-INDEX('hp (pSv cm2)'!$B$2:$B$52,MATCH($C298,'hp (pSv cm2)'!$A$2:$A$52,1)))/(INDEX('hp (pSv cm2)'!$A$2:$A$52,MATCH($C298,'hp (pSv cm2)'!$A$2:$A$52,1)+1)-INDEX('hp (pSv cm2)'!$A$2:$A$52,MATCH($C298,'hp (pSv cm2)'!$A$2:$A$52,1))),$C298*'hp (pSv cm2)'!$B$2/'hp (pSv cm2)'!$A$2)</f>
        <v>2.0059173000000001</v>
      </c>
      <c r="G298" s="67">
        <f t="shared" si="21"/>
        <v>3.7911836970000003E-3</v>
      </c>
      <c r="H298" s="83">
        <f>_xlfn.IFNA(0.997*(INDEX('Mass attenuation coefficients'!$B$2:$B$37,MATCH($C298,'Mass attenuation coefficients'!$A$2:$A$37,1))+($C298-INDEX('Mass attenuation coefficients'!$A$2:$A$37,MATCH($C298,'Mass attenuation coefficients'!$A$2:$A$37,1)))*(INDEX('Mass attenuation coefficients'!$B$2:$B$37,MATCH($C298,'Mass attenuation coefficients'!$A$2:$A$37,1)+1)-INDEX('Mass attenuation coefficients'!$B$2:$B$37,MATCH($C298,'Mass attenuation coefficients'!$A$2:$A$37,1)))/(INDEX('Mass attenuation coefficients'!$A$2:$A$37,MATCH($C298,'Mass attenuation coefficients'!$A$2:$A$37,1)+1)-INDEX('Mass attenuation coefficients'!$A$2:$A$37,MATCH($C298,'Mass attenuation coefficients'!$A$2:$A$37,1)))),0.997*$C298*'Mass attenuation coefficients'!$B$2/'Mass attenuation coefficients'!$A$2)</f>
        <v>0.1056658429171</v>
      </c>
      <c r="I298" s="83">
        <f>_xlfn.IFNA(INDEX('Shultis Faw'!$C$2:$C$26,MATCH($C298,'Shultis Faw'!$A$2:$A$26,1))+($C298-INDEX('Shultis Faw'!$A$2:$A$26,MATCH($C298,'Shultis Faw'!$A$2:$A$26,1)))*(INDEX('Shultis Faw'!$C$2:$C$26,MATCH($C298,'Shultis Faw'!$A$2:$A$26,1)+1)-INDEX('Shultis Faw'!$C$2:$C$26,MATCH($C298,'Shultis Faw'!$A$2:$A$26,1)))/(INDEX('Shultis Faw'!$A$2:$A$26,MATCH($C298,'Shultis Faw'!$A$2:$A$26,1)+1)-INDEX('Shultis Faw'!$A$2:$A$26,MATCH($C298,'Shultis Faw'!$A$2:$A$26,1))),$C298*'Shultis Faw'!$C$2/'Shultis Faw'!$A$2)</f>
        <v>2.6579855999999999</v>
      </c>
      <c r="J298" s="83">
        <f>_xlfn.IFNA(INDEX('Shultis Faw'!$D$2:$D$26,MATCH($C298,'Shultis Faw'!$A$2:$A$26,1))+($C298-INDEX('Shultis Faw'!$A$2:$A$26,MATCH($C298,'Shultis Faw'!$A$2:$A$26,1)))*(INDEX('Shultis Faw'!$D$2:$D$26,MATCH($C298,'Shultis Faw'!$A$2:$A$26,1)+1)-INDEX('Shultis Faw'!$D$2:$D$26,MATCH($C298,'Shultis Faw'!$A$2:$A$26,1)))/(INDEX('Shultis Faw'!$A$2:$A$26,MATCH($C298,'Shultis Faw'!$A$2:$A$26,1)+1)-INDEX('Shultis Faw'!$A$2:$A$26,MATCH($C298,'Shultis Faw'!$A$2:$A$26,1))),$C298*'Shultis Faw'!$D$2/'Shultis Faw'!$A$2)</f>
        <v>1.8805395599999999</v>
      </c>
      <c r="K298" s="83">
        <f>_xlfn.IFNA(INDEX('Shultis Faw'!$B$2:$B$26,MATCH($C298,'Shultis Faw'!$A$2:$A$26,1))+($C298-INDEX('Shultis Faw'!$A$2:$A$26,MATCH($C298,'Shultis Faw'!$A$2:$A$26,1)))*(INDEX('Shultis Faw'!$B$2:$B$26,MATCH($C298,'Shultis Faw'!$A$2:$A$26,1)+1)-INDEX('Shultis Faw'!$B$2:$B$26,MATCH($C298,'Shultis Faw'!$A$2:$A$26,1)))/(INDEX('Shultis Faw'!$A$2:$A$26,MATCH($C298,'Shultis Faw'!$A$2:$A$26,1)+1)-INDEX('Shultis Faw'!$A$2:$A$26,MATCH($C298,'Shultis Faw'!$A$2:$A$26,1))),$C298*'Shultis Faw'!$B$2/'Shultis Faw'!$A$2)</f>
        <v>-0.14882373999999998</v>
      </c>
      <c r="L298" s="83">
        <f>_xlfn.IFNA(INDEX('Shultis Faw'!$E$2:$E$26,MATCH($C298,'Shultis Faw'!$A$2:$A$26,1))+($C298-INDEX('Shultis Faw'!$A$2:$A$26,MATCH($C298,'Shultis Faw'!$A$2:$A$26,1)))*(INDEX('Shultis Faw'!$E$2:$E$26,MATCH($C298,'Shultis Faw'!$A$2:$A$26,1)+1)-INDEX('Shultis Faw'!$E$2:$E$26,MATCH($C298,'Shultis Faw'!$A$2:$A$26,1)))/(INDEX('Shultis Faw'!$A$2:$A$26,MATCH($C298,'Shultis Faw'!$A$2:$A$26,1)+1)-INDEX('Shultis Faw'!$A$2:$A$26,MATCH($C298,'Shultis Faw'!$A$2:$A$26,1))),$C298*'Shultis Faw'!$E$2/'Shultis Faw'!$A$2)</f>
        <v>5.9438308999999995E-2</v>
      </c>
      <c r="M298" s="83">
        <f>_xlfn.IFNA(INDEX('Shultis Faw'!$F$2:$F$26,MATCH($C298,'Shultis Faw'!$A$2:$A$26,1))+($C298-INDEX('Shultis Faw'!$A$2:$A$26,MATCH($C298,'Shultis Faw'!$A$2:$A$26,1)))*(INDEX('Shultis Faw'!$F$2:$F$26,MATCH($C298,'Shultis Faw'!$A$2:$A$26,1)+1)-INDEX('Shultis Faw'!$F$2:$F$26,MATCH($C298,'Shultis Faw'!$A$2:$A$26,1)))/(INDEX('Shultis Faw'!$A$2:$A$26,MATCH($C298,'Shultis Faw'!$A$2:$A$26,1)+1)-INDEX('Shultis Faw'!$A$2:$A$26,MATCH($C298,'Shultis Faw'!$A$2:$A$26,1))),$C298*'Shultis Faw'!$F$2/'Shultis Faw'!$A$2)</f>
        <v>14.241133100000001</v>
      </c>
      <c r="N298" s="83">
        <f>J298*(H298*'Externe blootstelling'!$D$23/2)^K298+L298*(TANH(((H298*'Externe blootstelling'!$D$23)/(2*M298))-2)-TANH(-2))/(1-TANH(-2))</f>
        <v>1.756222332050533</v>
      </c>
      <c r="O298" s="83">
        <f>IF(N298=1,1+(I298-1)*H298*'Externe blootstelling'!$D$23/2,1+(I298-1)*(N298^(H298*'Externe blootstelling'!$D$23/2)-1)/(N298-1))</f>
        <v>4.160412598751364</v>
      </c>
      <c r="P298" s="67">
        <f>G298*EXP(-H298*'Externe blootstelling'!$D$23/2)*O298</f>
        <v>3.2326586154486784E-3</v>
      </c>
      <c r="Q298" s="68"/>
    </row>
    <row r="299" spans="1:17" x14ac:dyDescent="0.2">
      <c r="A299" s="217"/>
      <c r="B299" s="64" t="s">
        <v>104</v>
      </c>
      <c r="C299" s="66">
        <v>0.40355000000000002</v>
      </c>
      <c r="D299" s="66">
        <f t="shared" si="20"/>
        <v>6.4567999999999991E-14</v>
      </c>
      <c r="E299" s="66">
        <v>2.5999999999999998E-4</v>
      </c>
      <c r="F299" s="66">
        <f>_xlfn.IFNA(INDEX('hp (pSv cm2)'!$B$2:$B$52,MATCH($C299,'hp (pSv cm2)'!$A$2:$A$52,1))+($C299-INDEX('hp (pSv cm2)'!$A$2:$A$52,MATCH($C299,'hp (pSv cm2)'!$A$2:$A$52,1)))*(INDEX('hp (pSv cm2)'!$B$2:$B$52,MATCH($C299,'hp (pSv cm2)'!$A$2:$A$52,1)+1)-INDEX('hp (pSv cm2)'!$B$2:$B$52,MATCH($C299,'hp (pSv cm2)'!$A$2:$A$52,1)))/(INDEX('hp (pSv cm2)'!$A$2:$A$52,MATCH($C299,'hp (pSv cm2)'!$A$2:$A$52,1)+1)-INDEX('hp (pSv cm2)'!$A$2:$A$52,MATCH($C299,'hp (pSv cm2)'!$A$2:$A$52,1))),$C299*'hp (pSv cm2)'!$B$2/'hp (pSv cm2)'!$A$2)</f>
        <v>2.0166849999999998</v>
      </c>
      <c r="G299" s="67">
        <f t="shared" si="21"/>
        <v>5.2433809999999988E-4</v>
      </c>
      <c r="H299" s="83">
        <f>_xlfn.IFNA(0.997*(INDEX('Mass attenuation coefficients'!$B$2:$B$37,MATCH($C299,'Mass attenuation coefficients'!$A$2:$A$37,1))+($C299-INDEX('Mass attenuation coefficients'!$A$2:$A$37,MATCH($C299,'Mass attenuation coefficients'!$A$2:$A$37,1)))*(INDEX('Mass attenuation coefficients'!$B$2:$B$37,MATCH($C299,'Mass attenuation coefficients'!$A$2:$A$37,1)+1)-INDEX('Mass attenuation coefficients'!$B$2:$B$37,MATCH($C299,'Mass attenuation coefficients'!$A$2:$A$37,1)))/(INDEX('Mass attenuation coefficients'!$A$2:$A$37,MATCH($C299,'Mass attenuation coefficients'!$A$2:$A$37,1)+1)-INDEX('Mass attenuation coefficients'!$A$2:$A$37,MATCH($C299,'Mass attenuation coefficients'!$A$2:$A$37,1)))),0.997*$C299*'Mass attenuation coefficients'!$B$2/'Mass attenuation coefficients'!$A$2)</f>
        <v>0.105455017995</v>
      </c>
      <c r="I299" s="83">
        <f>_xlfn.IFNA(INDEX('Shultis Faw'!$C$2:$C$26,MATCH($C299,'Shultis Faw'!$A$2:$A$26,1))+($C299-INDEX('Shultis Faw'!$A$2:$A$26,MATCH($C299,'Shultis Faw'!$A$2:$A$26,1)))*(INDEX('Shultis Faw'!$C$2:$C$26,MATCH($C299,'Shultis Faw'!$A$2:$A$26,1)+1)-INDEX('Shultis Faw'!$C$2:$C$26,MATCH($C299,'Shultis Faw'!$A$2:$A$26,1)))/(INDEX('Shultis Faw'!$A$2:$A$26,MATCH($C299,'Shultis Faw'!$A$2:$A$26,1)+1)-INDEX('Shultis Faw'!$A$2:$A$26,MATCH($C299,'Shultis Faw'!$A$2:$A$26,1))),$C299*'Shultis Faw'!$C$2/'Shultis Faw'!$A$2)</f>
        <v>2.6543200000000002</v>
      </c>
      <c r="J299" s="83">
        <f>_xlfn.IFNA(INDEX('Shultis Faw'!$D$2:$D$26,MATCH($C299,'Shultis Faw'!$A$2:$A$26,1))+($C299-INDEX('Shultis Faw'!$A$2:$A$26,MATCH($C299,'Shultis Faw'!$A$2:$A$26,1)))*(INDEX('Shultis Faw'!$D$2:$D$26,MATCH($C299,'Shultis Faw'!$A$2:$A$26,1)+1)-INDEX('Shultis Faw'!$D$2:$D$26,MATCH($C299,'Shultis Faw'!$A$2:$A$26,1)))/(INDEX('Shultis Faw'!$A$2:$A$26,MATCH($C299,'Shultis Faw'!$A$2:$A$26,1)+1)-INDEX('Shultis Faw'!$A$2:$A$26,MATCH($C299,'Shultis Faw'!$A$2:$A$26,1))),$C299*'Shultis Faw'!$D$2/'Shultis Faw'!$A$2)</f>
        <v>1.8778819999999998</v>
      </c>
      <c r="K299" s="83">
        <f>_xlfn.IFNA(INDEX('Shultis Faw'!$B$2:$B$26,MATCH($C299,'Shultis Faw'!$A$2:$A$26,1))+($C299-INDEX('Shultis Faw'!$A$2:$A$26,MATCH($C299,'Shultis Faw'!$A$2:$A$26,1)))*(INDEX('Shultis Faw'!$B$2:$B$26,MATCH($C299,'Shultis Faw'!$A$2:$A$26,1)+1)-INDEX('Shultis Faw'!$B$2:$B$26,MATCH($C299,'Shultis Faw'!$A$2:$A$26,1)))/(INDEX('Shultis Faw'!$A$2:$A$26,MATCH($C299,'Shultis Faw'!$A$2:$A$26,1)+1)-INDEX('Shultis Faw'!$A$2:$A$26,MATCH($C299,'Shultis Faw'!$A$2:$A$26,1))),$C299*'Shultis Faw'!$B$2/'Shultis Faw'!$A$2)</f>
        <v>-0.148503</v>
      </c>
      <c r="L299" s="83">
        <f>_xlfn.IFNA(INDEX('Shultis Faw'!$E$2:$E$26,MATCH($C299,'Shultis Faw'!$A$2:$A$26,1))+($C299-INDEX('Shultis Faw'!$A$2:$A$26,MATCH($C299,'Shultis Faw'!$A$2:$A$26,1)))*(INDEX('Shultis Faw'!$E$2:$E$26,MATCH($C299,'Shultis Faw'!$A$2:$A$26,1)+1)-INDEX('Shultis Faw'!$E$2:$E$26,MATCH($C299,'Shultis Faw'!$A$2:$A$26,1)))/(INDEX('Shultis Faw'!$A$2:$A$26,MATCH($C299,'Shultis Faw'!$A$2:$A$26,1)+1)-INDEX('Shultis Faw'!$A$2:$A$26,MATCH($C299,'Shultis Faw'!$A$2:$A$26,1))),$C299*'Shultis Faw'!$E$2/'Shultis Faw'!$A$2)</f>
        <v>5.9326049999999998E-2</v>
      </c>
      <c r="M299" s="83">
        <f>_xlfn.IFNA(INDEX('Shultis Faw'!$F$2:$F$26,MATCH($C299,'Shultis Faw'!$A$2:$A$26,1))+($C299-INDEX('Shultis Faw'!$A$2:$A$26,MATCH($C299,'Shultis Faw'!$A$2:$A$26,1)))*(INDEX('Shultis Faw'!$F$2:$F$26,MATCH($C299,'Shultis Faw'!$A$2:$A$26,1)+1)-INDEX('Shultis Faw'!$F$2:$F$26,MATCH($C299,'Shultis Faw'!$A$2:$A$26,1)))/(INDEX('Shultis Faw'!$A$2:$A$26,MATCH($C299,'Shultis Faw'!$A$2:$A$26,1)+1)-INDEX('Shultis Faw'!$A$2:$A$26,MATCH($C299,'Shultis Faw'!$A$2:$A$26,1))),$C299*'Shultis Faw'!$F$2/'Shultis Faw'!$A$2)</f>
        <v>14.243195</v>
      </c>
      <c r="N299" s="83">
        <f>J299*(H299*'Externe blootstelling'!$D$23/2)^K299+L299*(TANH(((H299*'Externe blootstelling'!$D$23)/(2*M299))-2)-TANH(-2))/(1-TANH(-2))</f>
        <v>1.7545189694210952</v>
      </c>
      <c r="O299" s="83">
        <f>IF(N299=1,1+(I299-1)*H299*'Externe blootstelling'!$D$23/2,1+(I299-1)*(N299^(H299*'Externe blootstelling'!$D$23/2)-1)/(N299-1))</f>
        <v>4.1428234135563793</v>
      </c>
      <c r="P299" s="67">
        <f>G299*EXP(-H299*'Externe blootstelling'!$D$23/2)*O299</f>
        <v>4.4661144885812349E-4</v>
      </c>
      <c r="Q299" s="68"/>
    </row>
    <row r="300" spans="1:17" x14ac:dyDescent="0.2">
      <c r="A300" s="217"/>
      <c r="B300" s="64" t="s">
        <v>104</v>
      </c>
      <c r="C300" s="66">
        <v>0.4143</v>
      </c>
      <c r="D300" s="66">
        <f t="shared" si="20"/>
        <v>6.6287999999999995E-14</v>
      </c>
      <c r="E300" s="66">
        <v>4.8999999999999998E-5</v>
      </c>
      <c r="F300" s="66">
        <f>_xlfn.IFNA(INDEX('hp (pSv cm2)'!$B$2:$B$52,MATCH($C300,'hp (pSv cm2)'!$A$2:$A$52,1))+($C300-INDEX('hp (pSv cm2)'!$A$2:$A$52,MATCH($C300,'hp (pSv cm2)'!$A$2:$A$52,1)))*(INDEX('hp (pSv cm2)'!$B$2:$B$52,MATCH($C300,'hp (pSv cm2)'!$A$2:$A$52,1)+1)-INDEX('hp (pSv cm2)'!$B$2:$B$52,MATCH($C300,'hp (pSv cm2)'!$A$2:$A$52,1)))/(INDEX('hp (pSv cm2)'!$A$2:$A$52,MATCH($C300,'hp (pSv cm2)'!$A$2:$A$52,1)+1)-INDEX('hp (pSv cm2)'!$A$2:$A$52,MATCH($C300,'hp (pSv cm2)'!$A$2:$A$52,1))),$C300*'hp (pSv cm2)'!$B$2/'hp (pSv cm2)'!$A$2)</f>
        <v>2.0672099999999998</v>
      </c>
      <c r="G300" s="67">
        <f t="shared" si="21"/>
        <v>1.0129328999999999E-4</v>
      </c>
      <c r="H300" s="83">
        <f>_xlfn.IFNA(0.997*(INDEX('Mass attenuation coefficients'!$B$2:$B$37,MATCH($C300,'Mass attenuation coefficients'!$A$2:$A$37,1))+($C300-INDEX('Mass attenuation coefficients'!$A$2:$A$37,MATCH($C300,'Mass attenuation coefficients'!$A$2:$A$37,1)))*(INDEX('Mass attenuation coefficients'!$B$2:$B$37,MATCH($C300,'Mass attenuation coefficients'!$A$2:$A$37,1)+1)-INDEX('Mass attenuation coefficients'!$B$2:$B$37,MATCH($C300,'Mass attenuation coefficients'!$A$2:$A$37,1)))/(INDEX('Mass attenuation coefficients'!$A$2:$A$37,MATCH($C300,'Mass attenuation coefficients'!$A$2:$A$37,1)+1)-INDEX('Mass attenuation coefficients'!$A$2:$A$37,MATCH($C300,'Mass attenuation coefficients'!$A$2:$A$37,1)))),0.997*$C300*'Mass attenuation coefficients'!$B$2/'Mass attenuation coefficients'!$A$2)</f>
        <v>0.10446576967</v>
      </c>
      <c r="I300" s="83">
        <f>_xlfn.IFNA(INDEX('Shultis Faw'!$C$2:$C$26,MATCH($C300,'Shultis Faw'!$A$2:$A$26,1))+($C300-INDEX('Shultis Faw'!$A$2:$A$26,MATCH($C300,'Shultis Faw'!$A$2:$A$26,1)))*(INDEX('Shultis Faw'!$C$2:$C$26,MATCH($C300,'Shultis Faw'!$A$2:$A$26,1)+1)-INDEX('Shultis Faw'!$C$2:$C$26,MATCH($C300,'Shultis Faw'!$A$2:$A$26,1)))/(INDEX('Shultis Faw'!$A$2:$A$26,MATCH($C300,'Shultis Faw'!$A$2:$A$26,1)+1)-INDEX('Shultis Faw'!$A$2:$A$26,MATCH($C300,'Shultis Faw'!$A$2:$A$26,1))),$C300*'Shultis Faw'!$C$2/'Shultis Faw'!$A$2)</f>
        <v>2.6371200000000004</v>
      </c>
      <c r="J300" s="83">
        <f>_xlfn.IFNA(INDEX('Shultis Faw'!$D$2:$D$26,MATCH($C300,'Shultis Faw'!$A$2:$A$26,1))+($C300-INDEX('Shultis Faw'!$A$2:$A$26,MATCH($C300,'Shultis Faw'!$A$2:$A$26,1)))*(INDEX('Shultis Faw'!$D$2:$D$26,MATCH($C300,'Shultis Faw'!$A$2:$A$26,1)+1)-INDEX('Shultis Faw'!$D$2:$D$26,MATCH($C300,'Shultis Faw'!$A$2:$A$26,1)))/(INDEX('Shultis Faw'!$A$2:$A$26,MATCH($C300,'Shultis Faw'!$A$2:$A$26,1)+1)-INDEX('Shultis Faw'!$A$2:$A$26,MATCH($C300,'Shultis Faw'!$A$2:$A$26,1))),$C300*'Shultis Faw'!$D$2/'Shultis Faw'!$A$2)</f>
        <v>1.8654119999999998</v>
      </c>
      <c r="K300" s="83">
        <f>_xlfn.IFNA(INDEX('Shultis Faw'!$B$2:$B$26,MATCH($C300,'Shultis Faw'!$A$2:$A$26,1))+($C300-INDEX('Shultis Faw'!$A$2:$A$26,MATCH($C300,'Shultis Faw'!$A$2:$A$26,1)))*(INDEX('Shultis Faw'!$B$2:$B$26,MATCH($C300,'Shultis Faw'!$A$2:$A$26,1)+1)-INDEX('Shultis Faw'!$B$2:$B$26,MATCH($C300,'Shultis Faw'!$A$2:$A$26,1)))/(INDEX('Shultis Faw'!$A$2:$A$26,MATCH($C300,'Shultis Faw'!$A$2:$A$26,1)+1)-INDEX('Shultis Faw'!$A$2:$A$26,MATCH($C300,'Shultis Faw'!$A$2:$A$26,1))),$C300*'Shultis Faw'!$B$2/'Shultis Faw'!$A$2)</f>
        <v>-0.14699799999999999</v>
      </c>
      <c r="L300" s="83">
        <f>_xlfn.IFNA(INDEX('Shultis Faw'!$E$2:$E$26,MATCH($C300,'Shultis Faw'!$A$2:$A$26,1))+($C300-INDEX('Shultis Faw'!$A$2:$A$26,MATCH($C300,'Shultis Faw'!$A$2:$A$26,1)))*(INDEX('Shultis Faw'!$E$2:$E$26,MATCH($C300,'Shultis Faw'!$A$2:$A$26,1)+1)-INDEX('Shultis Faw'!$E$2:$E$26,MATCH($C300,'Shultis Faw'!$A$2:$A$26,1)))/(INDEX('Shultis Faw'!$A$2:$A$26,MATCH($C300,'Shultis Faw'!$A$2:$A$26,1)+1)-INDEX('Shultis Faw'!$A$2:$A$26,MATCH($C300,'Shultis Faw'!$A$2:$A$26,1))),$C300*'Shultis Faw'!$E$2/'Shultis Faw'!$A$2)</f>
        <v>5.8799299999999999E-2</v>
      </c>
      <c r="M300" s="83">
        <f>_xlfn.IFNA(INDEX('Shultis Faw'!$F$2:$F$26,MATCH($C300,'Shultis Faw'!$A$2:$A$26,1))+($C300-INDEX('Shultis Faw'!$A$2:$A$26,MATCH($C300,'Shultis Faw'!$A$2:$A$26,1)))*(INDEX('Shultis Faw'!$F$2:$F$26,MATCH($C300,'Shultis Faw'!$A$2:$A$26,1)+1)-INDEX('Shultis Faw'!$F$2:$F$26,MATCH($C300,'Shultis Faw'!$A$2:$A$26,1)))/(INDEX('Shultis Faw'!$A$2:$A$26,MATCH($C300,'Shultis Faw'!$A$2:$A$26,1)+1)-INDEX('Shultis Faw'!$A$2:$A$26,MATCH($C300,'Shultis Faw'!$A$2:$A$26,1))),$C300*'Shultis Faw'!$F$2/'Shultis Faw'!$A$2)</f>
        <v>14.25287</v>
      </c>
      <c r="N300" s="83">
        <f>J300*(H300*'Externe blootstelling'!$D$23/2)^K300+L300*(TANH(((H300*'Externe blootstelling'!$D$23)/(2*M300))-2)-TANH(-2))/(1-TANH(-2))</f>
        <v>1.7464853956768767</v>
      </c>
      <c r="O300" s="83">
        <f>IF(N300=1,1+(I300-1)*H300*'Externe blootstelling'!$D$23/2,1+(I300-1)*(N300^(H300*'Externe blootstelling'!$D$23/2)-1)/(N300-1))</f>
        <v>4.0613602538884885</v>
      </c>
      <c r="P300" s="67">
        <f>G300*EXP(-H300*'Externe blootstelling'!$D$23/2)*O300</f>
        <v>8.5845707021622525E-5</v>
      </c>
      <c r="Q300" s="68"/>
    </row>
    <row r="301" spans="1:17" x14ac:dyDescent="0.2">
      <c r="A301" s="217"/>
      <c r="B301" s="64" t="s">
        <v>104</v>
      </c>
      <c r="C301" s="66">
        <v>0.4194</v>
      </c>
      <c r="D301" s="66">
        <f t="shared" si="20"/>
        <v>6.7103999999999999E-14</v>
      </c>
      <c r="E301" s="66">
        <v>3.4E-5</v>
      </c>
      <c r="F301" s="66">
        <f>_xlfn.IFNA(INDEX('hp (pSv cm2)'!$B$2:$B$52,MATCH($C301,'hp (pSv cm2)'!$A$2:$A$52,1))+($C301-INDEX('hp (pSv cm2)'!$A$2:$A$52,MATCH($C301,'hp (pSv cm2)'!$A$2:$A$52,1)))*(INDEX('hp (pSv cm2)'!$B$2:$B$52,MATCH($C301,'hp (pSv cm2)'!$A$2:$A$52,1)+1)-INDEX('hp (pSv cm2)'!$B$2:$B$52,MATCH($C301,'hp (pSv cm2)'!$A$2:$A$52,1)))/(INDEX('hp (pSv cm2)'!$A$2:$A$52,MATCH($C301,'hp (pSv cm2)'!$A$2:$A$52,1)+1)-INDEX('hp (pSv cm2)'!$A$2:$A$52,MATCH($C301,'hp (pSv cm2)'!$A$2:$A$52,1))),$C301*'hp (pSv cm2)'!$B$2/'hp (pSv cm2)'!$A$2)</f>
        <v>2.09118</v>
      </c>
      <c r="G301" s="67">
        <f t="shared" si="21"/>
        <v>7.1100120000000002E-5</v>
      </c>
      <c r="H301" s="83">
        <f>_xlfn.IFNA(0.997*(INDEX('Mass attenuation coefficients'!$B$2:$B$37,MATCH($C301,'Mass attenuation coefficients'!$A$2:$A$37,1))+($C301-INDEX('Mass attenuation coefficients'!$A$2:$A$37,MATCH($C301,'Mass attenuation coefficients'!$A$2:$A$37,1)))*(INDEX('Mass attenuation coefficients'!$B$2:$B$37,MATCH($C301,'Mass attenuation coefficients'!$A$2:$A$37,1)+1)-INDEX('Mass attenuation coefficients'!$B$2:$B$37,MATCH($C301,'Mass attenuation coefficients'!$A$2:$A$37,1)))/(INDEX('Mass attenuation coefficients'!$A$2:$A$37,MATCH($C301,'Mass attenuation coefficients'!$A$2:$A$37,1)+1)-INDEX('Mass attenuation coefficients'!$A$2:$A$37,MATCH($C301,'Mass attenuation coefficients'!$A$2:$A$37,1)))),0.997*$C301*'Mass attenuation coefficients'!$B$2/'Mass attenuation coefficients'!$A$2)</f>
        <v>0.10399645186000001</v>
      </c>
      <c r="I301" s="83">
        <f>_xlfn.IFNA(INDEX('Shultis Faw'!$C$2:$C$26,MATCH($C301,'Shultis Faw'!$A$2:$A$26,1))+($C301-INDEX('Shultis Faw'!$A$2:$A$26,MATCH($C301,'Shultis Faw'!$A$2:$A$26,1)))*(INDEX('Shultis Faw'!$C$2:$C$26,MATCH($C301,'Shultis Faw'!$A$2:$A$26,1)+1)-INDEX('Shultis Faw'!$C$2:$C$26,MATCH($C301,'Shultis Faw'!$A$2:$A$26,1)))/(INDEX('Shultis Faw'!$A$2:$A$26,MATCH($C301,'Shultis Faw'!$A$2:$A$26,1)+1)-INDEX('Shultis Faw'!$A$2:$A$26,MATCH($C301,'Shultis Faw'!$A$2:$A$26,1))),$C301*'Shultis Faw'!$C$2/'Shultis Faw'!$A$2)</f>
        <v>2.6289600000000002</v>
      </c>
      <c r="J301" s="83">
        <f>_xlfn.IFNA(INDEX('Shultis Faw'!$D$2:$D$26,MATCH($C301,'Shultis Faw'!$A$2:$A$26,1))+($C301-INDEX('Shultis Faw'!$A$2:$A$26,MATCH($C301,'Shultis Faw'!$A$2:$A$26,1)))*(INDEX('Shultis Faw'!$D$2:$D$26,MATCH($C301,'Shultis Faw'!$A$2:$A$26,1)+1)-INDEX('Shultis Faw'!$D$2:$D$26,MATCH($C301,'Shultis Faw'!$A$2:$A$26,1)))/(INDEX('Shultis Faw'!$A$2:$A$26,MATCH($C301,'Shultis Faw'!$A$2:$A$26,1)+1)-INDEX('Shultis Faw'!$A$2:$A$26,MATCH($C301,'Shultis Faw'!$A$2:$A$26,1))),$C301*'Shultis Faw'!$D$2/'Shultis Faw'!$A$2)</f>
        <v>1.859496</v>
      </c>
      <c r="K301" s="83">
        <f>_xlfn.IFNA(INDEX('Shultis Faw'!$B$2:$B$26,MATCH($C301,'Shultis Faw'!$A$2:$A$26,1))+($C301-INDEX('Shultis Faw'!$A$2:$A$26,MATCH($C301,'Shultis Faw'!$A$2:$A$26,1)))*(INDEX('Shultis Faw'!$B$2:$B$26,MATCH($C301,'Shultis Faw'!$A$2:$A$26,1)+1)-INDEX('Shultis Faw'!$B$2:$B$26,MATCH($C301,'Shultis Faw'!$A$2:$A$26,1)))/(INDEX('Shultis Faw'!$A$2:$A$26,MATCH($C301,'Shultis Faw'!$A$2:$A$26,1)+1)-INDEX('Shultis Faw'!$A$2:$A$26,MATCH($C301,'Shultis Faw'!$A$2:$A$26,1))),$C301*'Shultis Faw'!$B$2/'Shultis Faw'!$A$2)</f>
        <v>-0.146284</v>
      </c>
      <c r="L301" s="83">
        <f>_xlfn.IFNA(INDEX('Shultis Faw'!$E$2:$E$26,MATCH($C301,'Shultis Faw'!$A$2:$A$26,1))+($C301-INDEX('Shultis Faw'!$A$2:$A$26,MATCH($C301,'Shultis Faw'!$A$2:$A$26,1)))*(INDEX('Shultis Faw'!$E$2:$E$26,MATCH($C301,'Shultis Faw'!$A$2:$A$26,1)+1)-INDEX('Shultis Faw'!$E$2:$E$26,MATCH($C301,'Shultis Faw'!$A$2:$A$26,1)))/(INDEX('Shultis Faw'!$A$2:$A$26,MATCH($C301,'Shultis Faw'!$A$2:$A$26,1)+1)-INDEX('Shultis Faw'!$A$2:$A$26,MATCH($C301,'Shultis Faw'!$A$2:$A$26,1))),$C301*'Shultis Faw'!$E$2/'Shultis Faw'!$A$2)</f>
        <v>5.8549400000000001E-2</v>
      </c>
      <c r="M301" s="83">
        <f>_xlfn.IFNA(INDEX('Shultis Faw'!$F$2:$F$26,MATCH($C301,'Shultis Faw'!$A$2:$A$26,1))+($C301-INDEX('Shultis Faw'!$A$2:$A$26,MATCH($C301,'Shultis Faw'!$A$2:$A$26,1)))*(INDEX('Shultis Faw'!$F$2:$F$26,MATCH($C301,'Shultis Faw'!$A$2:$A$26,1)+1)-INDEX('Shultis Faw'!$F$2:$F$26,MATCH($C301,'Shultis Faw'!$A$2:$A$26,1)))/(INDEX('Shultis Faw'!$A$2:$A$26,MATCH($C301,'Shultis Faw'!$A$2:$A$26,1)+1)-INDEX('Shultis Faw'!$A$2:$A$26,MATCH($C301,'Shultis Faw'!$A$2:$A$26,1))),$C301*'Shultis Faw'!$F$2/'Shultis Faw'!$A$2)</f>
        <v>14.25746</v>
      </c>
      <c r="N301" s="83">
        <f>J301*(H301*'Externe blootstelling'!$D$23/2)^K301+L301*(TANH(((H301*'Externe blootstelling'!$D$23)/(2*M301))-2)-TANH(-2))/(1-TANH(-2))</f>
        <v>1.7426505113997697</v>
      </c>
      <c r="O301" s="83">
        <f>IF(N301=1,1+(I301-1)*H301*'Externe blootstelling'!$D$23/2,1+(I301-1)*(N301^(H301*'Externe blootstelling'!$D$23/2)-1)/(N301-1))</f>
        <v>4.0233227804537677</v>
      </c>
      <c r="P301" s="67">
        <f>G301*EXP(-H301*'Externe blootstelling'!$D$23/2)*O301</f>
        <v>6.0114457510438999E-5</v>
      </c>
      <c r="Q301" s="68"/>
    </row>
    <row r="302" spans="1:17" x14ac:dyDescent="0.2">
      <c r="A302" s="217"/>
      <c r="B302" s="64" t="s">
        <v>104</v>
      </c>
      <c r="C302" s="66">
        <v>0.42210000000000003</v>
      </c>
      <c r="D302" s="66">
        <f t="shared" si="20"/>
        <v>6.7536000000000009E-14</v>
      </c>
      <c r="E302" s="66">
        <v>2.2000000000000003E-5</v>
      </c>
      <c r="F302" s="66">
        <f>_xlfn.IFNA(INDEX('hp (pSv cm2)'!$B$2:$B$52,MATCH($C302,'hp (pSv cm2)'!$A$2:$A$52,1))+($C302-INDEX('hp (pSv cm2)'!$A$2:$A$52,MATCH($C302,'hp (pSv cm2)'!$A$2:$A$52,1)))*(INDEX('hp (pSv cm2)'!$B$2:$B$52,MATCH($C302,'hp (pSv cm2)'!$A$2:$A$52,1)+1)-INDEX('hp (pSv cm2)'!$B$2:$B$52,MATCH($C302,'hp (pSv cm2)'!$A$2:$A$52,1)))/(INDEX('hp (pSv cm2)'!$A$2:$A$52,MATCH($C302,'hp (pSv cm2)'!$A$2:$A$52,1)+1)-INDEX('hp (pSv cm2)'!$A$2:$A$52,MATCH($C302,'hp (pSv cm2)'!$A$2:$A$52,1))),$C302*'hp (pSv cm2)'!$B$2/'hp (pSv cm2)'!$A$2)</f>
        <v>2.1038700000000001</v>
      </c>
      <c r="G302" s="67">
        <f t="shared" si="21"/>
        <v>4.6285140000000011E-5</v>
      </c>
      <c r="H302" s="83">
        <f>_xlfn.IFNA(0.997*(INDEX('Mass attenuation coefficients'!$B$2:$B$37,MATCH($C302,'Mass attenuation coefficients'!$A$2:$A$37,1))+($C302-INDEX('Mass attenuation coefficients'!$A$2:$A$37,MATCH($C302,'Mass attenuation coefficients'!$A$2:$A$37,1)))*(INDEX('Mass attenuation coefficients'!$B$2:$B$37,MATCH($C302,'Mass attenuation coefficients'!$A$2:$A$37,1)+1)-INDEX('Mass attenuation coefficients'!$B$2:$B$37,MATCH($C302,'Mass attenuation coefficients'!$A$2:$A$37,1)))/(INDEX('Mass attenuation coefficients'!$A$2:$A$37,MATCH($C302,'Mass attenuation coefficients'!$A$2:$A$37,1)+1)-INDEX('Mass attenuation coefficients'!$A$2:$A$37,MATCH($C302,'Mass attenuation coefficients'!$A$2:$A$37,1)))),0.997*$C302*'Mass attenuation coefficients'!$B$2/'Mass attenuation coefficients'!$A$2)</f>
        <v>0.10374798949</v>
      </c>
      <c r="I302" s="83">
        <f>_xlfn.IFNA(INDEX('Shultis Faw'!$C$2:$C$26,MATCH($C302,'Shultis Faw'!$A$2:$A$26,1))+($C302-INDEX('Shultis Faw'!$A$2:$A$26,MATCH($C302,'Shultis Faw'!$A$2:$A$26,1)))*(INDEX('Shultis Faw'!$C$2:$C$26,MATCH($C302,'Shultis Faw'!$A$2:$A$26,1)+1)-INDEX('Shultis Faw'!$C$2:$C$26,MATCH($C302,'Shultis Faw'!$A$2:$A$26,1)))/(INDEX('Shultis Faw'!$A$2:$A$26,MATCH($C302,'Shultis Faw'!$A$2:$A$26,1)+1)-INDEX('Shultis Faw'!$A$2:$A$26,MATCH($C302,'Shultis Faw'!$A$2:$A$26,1))),$C302*'Shultis Faw'!$C$2/'Shultis Faw'!$A$2)</f>
        <v>2.6246400000000003</v>
      </c>
      <c r="J302" s="83">
        <f>_xlfn.IFNA(INDEX('Shultis Faw'!$D$2:$D$26,MATCH($C302,'Shultis Faw'!$A$2:$A$26,1))+($C302-INDEX('Shultis Faw'!$A$2:$A$26,MATCH($C302,'Shultis Faw'!$A$2:$A$26,1)))*(INDEX('Shultis Faw'!$D$2:$D$26,MATCH($C302,'Shultis Faw'!$A$2:$A$26,1)+1)-INDEX('Shultis Faw'!$D$2:$D$26,MATCH($C302,'Shultis Faw'!$A$2:$A$26,1)))/(INDEX('Shultis Faw'!$A$2:$A$26,MATCH($C302,'Shultis Faw'!$A$2:$A$26,1)+1)-INDEX('Shultis Faw'!$A$2:$A$26,MATCH($C302,'Shultis Faw'!$A$2:$A$26,1))),$C302*'Shultis Faw'!$D$2/'Shultis Faw'!$A$2)</f>
        <v>1.8563639999999999</v>
      </c>
      <c r="K302" s="83">
        <f>_xlfn.IFNA(INDEX('Shultis Faw'!$B$2:$B$26,MATCH($C302,'Shultis Faw'!$A$2:$A$26,1))+($C302-INDEX('Shultis Faw'!$A$2:$A$26,MATCH($C302,'Shultis Faw'!$A$2:$A$26,1)))*(INDEX('Shultis Faw'!$B$2:$B$26,MATCH($C302,'Shultis Faw'!$A$2:$A$26,1)+1)-INDEX('Shultis Faw'!$B$2:$B$26,MATCH($C302,'Shultis Faw'!$A$2:$A$26,1)))/(INDEX('Shultis Faw'!$A$2:$A$26,MATCH($C302,'Shultis Faw'!$A$2:$A$26,1)+1)-INDEX('Shultis Faw'!$A$2:$A$26,MATCH($C302,'Shultis Faw'!$A$2:$A$26,1))),$C302*'Shultis Faw'!$B$2/'Shultis Faw'!$A$2)</f>
        <v>-0.14590600000000001</v>
      </c>
      <c r="L302" s="83">
        <f>_xlfn.IFNA(INDEX('Shultis Faw'!$E$2:$E$26,MATCH($C302,'Shultis Faw'!$A$2:$A$26,1))+($C302-INDEX('Shultis Faw'!$A$2:$A$26,MATCH($C302,'Shultis Faw'!$A$2:$A$26,1)))*(INDEX('Shultis Faw'!$E$2:$E$26,MATCH($C302,'Shultis Faw'!$A$2:$A$26,1)+1)-INDEX('Shultis Faw'!$E$2:$E$26,MATCH($C302,'Shultis Faw'!$A$2:$A$26,1)))/(INDEX('Shultis Faw'!$A$2:$A$26,MATCH($C302,'Shultis Faw'!$A$2:$A$26,1)+1)-INDEX('Shultis Faw'!$A$2:$A$26,MATCH($C302,'Shultis Faw'!$A$2:$A$26,1))),$C302*'Shultis Faw'!$E$2/'Shultis Faw'!$A$2)</f>
        <v>5.84171E-2</v>
      </c>
      <c r="M302" s="83">
        <f>_xlfn.IFNA(INDEX('Shultis Faw'!$F$2:$F$26,MATCH($C302,'Shultis Faw'!$A$2:$A$26,1))+($C302-INDEX('Shultis Faw'!$A$2:$A$26,MATCH($C302,'Shultis Faw'!$A$2:$A$26,1)))*(INDEX('Shultis Faw'!$F$2:$F$26,MATCH($C302,'Shultis Faw'!$A$2:$A$26,1)+1)-INDEX('Shultis Faw'!$F$2:$F$26,MATCH($C302,'Shultis Faw'!$A$2:$A$26,1)))/(INDEX('Shultis Faw'!$A$2:$A$26,MATCH($C302,'Shultis Faw'!$A$2:$A$26,1)+1)-INDEX('Shultis Faw'!$A$2:$A$26,MATCH($C302,'Shultis Faw'!$A$2:$A$26,1))),$C302*'Shultis Faw'!$F$2/'Shultis Faw'!$A$2)</f>
        <v>14.25989</v>
      </c>
      <c r="N302" s="83">
        <f>J302*(H302*'Externe blootstelling'!$D$23/2)^K302+L302*(TANH(((H302*'Externe blootstelling'!$D$23)/(2*M302))-2)-TANH(-2))/(1-TANH(-2))</f>
        <v>1.7406141262567292</v>
      </c>
      <c r="O302" s="83">
        <f>IF(N302=1,1+(I302-1)*H302*'Externe blootstelling'!$D$23/2,1+(I302-1)*(N302^(H302*'Externe blootstelling'!$D$23/2)-1)/(N302-1))</f>
        <v>4.0033424464261103</v>
      </c>
      <c r="P302" s="67">
        <f>G302*EXP(-H302*'Externe blootstelling'!$D$23/2)*O302</f>
        <v>3.9084686501556821E-5</v>
      </c>
      <c r="Q302" s="68"/>
    </row>
    <row r="303" spans="1:17" x14ac:dyDescent="0.2">
      <c r="A303" s="217"/>
      <c r="B303" s="64" t="s">
        <v>104</v>
      </c>
      <c r="C303" s="66">
        <v>0.43589999999999995</v>
      </c>
      <c r="D303" s="66">
        <f t="shared" si="20"/>
        <v>6.9743999999999988E-14</v>
      </c>
      <c r="E303" s="66">
        <v>3.8000000000000002E-5</v>
      </c>
      <c r="F303" s="66">
        <f>_xlfn.IFNA(INDEX('hp (pSv cm2)'!$B$2:$B$52,MATCH($C303,'hp (pSv cm2)'!$A$2:$A$52,1))+($C303-INDEX('hp (pSv cm2)'!$A$2:$A$52,MATCH($C303,'hp (pSv cm2)'!$A$2:$A$52,1)))*(INDEX('hp (pSv cm2)'!$B$2:$B$52,MATCH($C303,'hp (pSv cm2)'!$A$2:$A$52,1)+1)-INDEX('hp (pSv cm2)'!$B$2:$B$52,MATCH($C303,'hp (pSv cm2)'!$A$2:$A$52,1)))/(INDEX('hp (pSv cm2)'!$A$2:$A$52,MATCH($C303,'hp (pSv cm2)'!$A$2:$A$52,1)+1)-INDEX('hp (pSv cm2)'!$A$2:$A$52,MATCH($C303,'hp (pSv cm2)'!$A$2:$A$52,1))),$C303*'hp (pSv cm2)'!$B$2/'hp (pSv cm2)'!$A$2)</f>
        <v>2.1687299999999996</v>
      </c>
      <c r="G303" s="67">
        <f t="shared" si="21"/>
        <v>8.2411739999999992E-5</v>
      </c>
      <c r="H303" s="83">
        <f>_xlfn.IFNA(0.997*(INDEX('Mass attenuation coefficients'!$B$2:$B$37,MATCH($C303,'Mass attenuation coefficients'!$A$2:$A$37,1))+($C303-INDEX('Mass attenuation coefficients'!$A$2:$A$37,MATCH($C303,'Mass attenuation coefficients'!$A$2:$A$37,1)))*(INDEX('Mass attenuation coefficients'!$B$2:$B$37,MATCH($C303,'Mass attenuation coefficients'!$A$2:$A$37,1)+1)-INDEX('Mass attenuation coefficients'!$B$2:$B$37,MATCH($C303,'Mass attenuation coefficients'!$A$2:$A$37,1)))/(INDEX('Mass attenuation coefficients'!$A$2:$A$37,MATCH($C303,'Mass attenuation coefficients'!$A$2:$A$37,1)+1)-INDEX('Mass attenuation coefficients'!$A$2:$A$37,MATCH($C303,'Mass attenuation coefficients'!$A$2:$A$37,1)))),0.997*$C303*'Mass attenuation coefficients'!$B$2/'Mass attenuation coefficients'!$A$2)</f>
        <v>0.10247807070999999</v>
      </c>
      <c r="I303" s="83">
        <f>_xlfn.IFNA(INDEX('Shultis Faw'!$C$2:$C$26,MATCH($C303,'Shultis Faw'!$A$2:$A$26,1))+($C303-INDEX('Shultis Faw'!$A$2:$A$26,MATCH($C303,'Shultis Faw'!$A$2:$A$26,1)))*(INDEX('Shultis Faw'!$C$2:$C$26,MATCH($C303,'Shultis Faw'!$A$2:$A$26,1)+1)-INDEX('Shultis Faw'!$C$2:$C$26,MATCH($C303,'Shultis Faw'!$A$2:$A$26,1)))/(INDEX('Shultis Faw'!$A$2:$A$26,MATCH($C303,'Shultis Faw'!$A$2:$A$26,1)+1)-INDEX('Shultis Faw'!$A$2:$A$26,MATCH($C303,'Shultis Faw'!$A$2:$A$26,1))),$C303*'Shultis Faw'!$C$2/'Shultis Faw'!$A$2)</f>
        <v>2.60256</v>
      </c>
      <c r="J303" s="83">
        <f>_xlfn.IFNA(INDEX('Shultis Faw'!$D$2:$D$26,MATCH($C303,'Shultis Faw'!$A$2:$A$26,1))+($C303-INDEX('Shultis Faw'!$A$2:$A$26,MATCH($C303,'Shultis Faw'!$A$2:$A$26,1)))*(INDEX('Shultis Faw'!$D$2:$D$26,MATCH($C303,'Shultis Faw'!$A$2:$A$26,1)+1)-INDEX('Shultis Faw'!$D$2:$D$26,MATCH($C303,'Shultis Faw'!$A$2:$A$26,1)))/(INDEX('Shultis Faw'!$A$2:$A$26,MATCH($C303,'Shultis Faw'!$A$2:$A$26,1)+1)-INDEX('Shultis Faw'!$A$2:$A$26,MATCH($C303,'Shultis Faw'!$A$2:$A$26,1))),$C303*'Shultis Faw'!$D$2/'Shultis Faw'!$A$2)</f>
        <v>1.8403560000000001</v>
      </c>
      <c r="K303" s="83">
        <f>_xlfn.IFNA(INDEX('Shultis Faw'!$B$2:$B$26,MATCH($C303,'Shultis Faw'!$A$2:$A$26,1))+($C303-INDEX('Shultis Faw'!$A$2:$A$26,MATCH($C303,'Shultis Faw'!$A$2:$A$26,1)))*(INDEX('Shultis Faw'!$B$2:$B$26,MATCH($C303,'Shultis Faw'!$A$2:$A$26,1)+1)-INDEX('Shultis Faw'!$B$2:$B$26,MATCH($C303,'Shultis Faw'!$A$2:$A$26,1)))/(INDEX('Shultis Faw'!$A$2:$A$26,MATCH($C303,'Shultis Faw'!$A$2:$A$26,1)+1)-INDEX('Shultis Faw'!$A$2:$A$26,MATCH($C303,'Shultis Faw'!$A$2:$A$26,1))),$C303*'Shultis Faw'!$B$2/'Shultis Faw'!$A$2)</f>
        <v>-0.14397400000000002</v>
      </c>
      <c r="L303" s="83">
        <f>_xlfn.IFNA(INDEX('Shultis Faw'!$E$2:$E$26,MATCH($C303,'Shultis Faw'!$A$2:$A$26,1))+($C303-INDEX('Shultis Faw'!$A$2:$A$26,MATCH($C303,'Shultis Faw'!$A$2:$A$26,1)))*(INDEX('Shultis Faw'!$E$2:$E$26,MATCH($C303,'Shultis Faw'!$A$2:$A$26,1)+1)-INDEX('Shultis Faw'!$E$2:$E$26,MATCH($C303,'Shultis Faw'!$A$2:$A$26,1)))/(INDEX('Shultis Faw'!$A$2:$A$26,MATCH($C303,'Shultis Faw'!$A$2:$A$26,1)+1)-INDEX('Shultis Faw'!$A$2:$A$26,MATCH($C303,'Shultis Faw'!$A$2:$A$26,1))),$C303*'Shultis Faw'!$E$2/'Shultis Faw'!$A$2)</f>
        <v>5.7740900000000005E-2</v>
      </c>
      <c r="M303" s="83">
        <f>_xlfn.IFNA(INDEX('Shultis Faw'!$F$2:$F$26,MATCH($C303,'Shultis Faw'!$A$2:$A$26,1))+($C303-INDEX('Shultis Faw'!$A$2:$A$26,MATCH($C303,'Shultis Faw'!$A$2:$A$26,1)))*(INDEX('Shultis Faw'!$F$2:$F$26,MATCH($C303,'Shultis Faw'!$A$2:$A$26,1)+1)-INDEX('Shultis Faw'!$F$2:$F$26,MATCH($C303,'Shultis Faw'!$A$2:$A$26,1)))/(INDEX('Shultis Faw'!$A$2:$A$26,MATCH($C303,'Shultis Faw'!$A$2:$A$26,1)+1)-INDEX('Shultis Faw'!$A$2:$A$26,MATCH($C303,'Shultis Faw'!$A$2:$A$26,1))),$C303*'Shultis Faw'!$F$2/'Shultis Faw'!$A$2)</f>
        <v>14.272310000000001</v>
      </c>
      <c r="N303" s="83">
        <f>J303*(H303*'Externe blootstelling'!$D$23/2)^K303+L303*(TANH(((H303*'Externe blootstelling'!$D$23)/(2*M303))-2)-TANH(-2))/(1-TANH(-2))</f>
        <v>1.7301393962041858</v>
      </c>
      <c r="O303" s="83">
        <f>IF(N303=1,1+(I303-1)*H303*'Externe blootstelling'!$D$23/2,1+(I303-1)*(N303^(H303*'Externe blootstelling'!$D$23/2)-1)/(N303-1))</f>
        <v>3.9028973255736883</v>
      </c>
      <c r="P303" s="67">
        <f>G303*EXP(-H303*'Externe blootstelling'!$D$23/2)*O303</f>
        <v>6.914985928310097E-5</v>
      </c>
      <c r="Q303" s="68"/>
    </row>
    <row r="304" spans="1:17" x14ac:dyDescent="0.2">
      <c r="A304" s="217"/>
      <c r="B304" s="64" t="s">
        <v>104</v>
      </c>
      <c r="C304" s="66">
        <v>0.44449239999999995</v>
      </c>
      <c r="D304" s="66">
        <f t="shared" si="20"/>
        <v>7.1118783999999996E-14</v>
      </c>
      <c r="E304" s="66">
        <v>5.6000000000000008E-3</v>
      </c>
      <c r="F304" s="66">
        <f>_xlfn.IFNA(INDEX('hp (pSv cm2)'!$B$2:$B$52,MATCH($C304,'hp (pSv cm2)'!$A$2:$A$52,1))+($C304-INDEX('hp (pSv cm2)'!$A$2:$A$52,MATCH($C304,'hp (pSv cm2)'!$A$2:$A$52,1)))*(INDEX('hp (pSv cm2)'!$B$2:$B$52,MATCH($C304,'hp (pSv cm2)'!$A$2:$A$52,1)+1)-INDEX('hp (pSv cm2)'!$B$2:$B$52,MATCH($C304,'hp (pSv cm2)'!$A$2:$A$52,1)))/(INDEX('hp (pSv cm2)'!$A$2:$A$52,MATCH($C304,'hp (pSv cm2)'!$A$2:$A$52,1)+1)-INDEX('hp (pSv cm2)'!$A$2:$A$52,MATCH($C304,'hp (pSv cm2)'!$A$2:$A$52,1))),$C304*'hp (pSv cm2)'!$B$2/'hp (pSv cm2)'!$A$2)</f>
        <v>2.2091142799999997</v>
      </c>
      <c r="G304" s="67">
        <f t="shared" si="21"/>
        <v>1.2371039968E-2</v>
      </c>
      <c r="H304" s="83">
        <f>_xlfn.IFNA(0.997*(INDEX('Mass attenuation coefficients'!$B$2:$B$37,MATCH($C304,'Mass attenuation coefficients'!$A$2:$A$37,1))+($C304-INDEX('Mass attenuation coefficients'!$A$2:$A$37,MATCH($C304,'Mass attenuation coefficients'!$A$2:$A$37,1)))*(INDEX('Mass attenuation coefficients'!$B$2:$B$37,MATCH($C304,'Mass attenuation coefficients'!$A$2:$A$37,1)+1)-INDEX('Mass attenuation coefficients'!$B$2:$B$37,MATCH($C304,'Mass attenuation coefficients'!$A$2:$A$37,1)))/(INDEX('Mass attenuation coefficients'!$A$2:$A$37,MATCH($C304,'Mass attenuation coefficients'!$A$2:$A$37,1)+1)-INDEX('Mass attenuation coefficients'!$A$2:$A$37,MATCH($C304,'Mass attenuation coefficients'!$A$2:$A$37,1)))),0.997*$C304*'Mass attenuation coefficients'!$B$2/'Mass attenuation coefficients'!$A$2)</f>
        <v>0.10168737142556</v>
      </c>
      <c r="I304" s="83">
        <f>_xlfn.IFNA(INDEX('Shultis Faw'!$C$2:$C$26,MATCH($C304,'Shultis Faw'!$A$2:$A$26,1))+($C304-INDEX('Shultis Faw'!$A$2:$A$26,MATCH($C304,'Shultis Faw'!$A$2:$A$26,1)))*(INDEX('Shultis Faw'!$C$2:$C$26,MATCH($C304,'Shultis Faw'!$A$2:$A$26,1)+1)-INDEX('Shultis Faw'!$C$2:$C$26,MATCH($C304,'Shultis Faw'!$A$2:$A$26,1)))/(INDEX('Shultis Faw'!$A$2:$A$26,MATCH($C304,'Shultis Faw'!$A$2:$A$26,1)+1)-INDEX('Shultis Faw'!$A$2:$A$26,MATCH($C304,'Shultis Faw'!$A$2:$A$26,1))),$C304*'Shultis Faw'!$C$2/'Shultis Faw'!$A$2)</f>
        <v>2.5888121600000003</v>
      </c>
      <c r="J304" s="83">
        <f>_xlfn.IFNA(INDEX('Shultis Faw'!$D$2:$D$26,MATCH($C304,'Shultis Faw'!$A$2:$A$26,1))+($C304-INDEX('Shultis Faw'!$A$2:$A$26,MATCH($C304,'Shultis Faw'!$A$2:$A$26,1)))*(INDEX('Shultis Faw'!$D$2:$D$26,MATCH($C304,'Shultis Faw'!$A$2:$A$26,1)+1)-INDEX('Shultis Faw'!$D$2:$D$26,MATCH($C304,'Shultis Faw'!$A$2:$A$26,1)))/(INDEX('Shultis Faw'!$A$2:$A$26,MATCH($C304,'Shultis Faw'!$A$2:$A$26,1)+1)-INDEX('Shultis Faw'!$A$2:$A$26,MATCH($C304,'Shultis Faw'!$A$2:$A$26,1))),$C304*'Shultis Faw'!$D$2/'Shultis Faw'!$A$2)</f>
        <v>1.8303888159999999</v>
      </c>
      <c r="K304" s="83">
        <f>_xlfn.IFNA(INDEX('Shultis Faw'!$B$2:$B$26,MATCH($C304,'Shultis Faw'!$A$2:$A$26,1))+($C304-INDEX('Shultis Faw'!$A$2:$A$26,MATCH($C304,'Shultis Faw'!$A$2:$A$26,1)))*(INDEX('Shultis Faw'!$B$2:$B$26,MATCH($C304,'Shultis Faw'!$A$2:$A$26,1)+1)-INDEX('Shultis Faw'!$B$2:$B$26,MATCH($C304,'Shultis Faw'!$A$2:$A$26,1)))/(INDEX('Shultis Faw'!$A$2:$A$26,MATCH($C304,'Shultis Faw'!$A$2:$A$26,1)+1)-INDEX('Shultis Faw'!$A$2:$A$26,MATCH($C304,'Shultis Faw'!$A$2:$A$26,1))),$C304*'Shultis Faw'!$B$2/'Shultis Faw'!$A$2)</f>
        <v>-0.142771064</v>
      </c>
      <c r="L304" s="83">
        <f>_xlfn.IFNA(INDEX('Shultis Faw'!$E$2:$E$26,MATCH($C304,'Shultis Faw'!$A$2:$A$26,1))+($C304-INDEX('Shultis Faw'!$A$2:$A$26,MATCH($C304,'Shultis Faw'!$A$2:$A$26,1)))*(INDEX('Shultis Faw'!$E$2:$E$26,MATCH($C304,'Shultis Faw'!$A$2:$A$26,1)+1)-INDEX('Shultis Faw'!$E$2:$E$26,MATCH($C304,'Shultis Faw'!$A$2:$A$26,1)))/(INDEX('Shultis Faw'!$A$2:$A$26,MATCH($C304,'Shultis Faw'!$A$2:$A$26,1)+1)-INDEX('Shultis Faw'!$A$2:$A$26,MATCH($C304,'Shultis Faw'!$A$2:$A$26,1))),$C304*'Shultis Faw'!$E$2/'Shultis Faw'!$A$2)</f>
        <v>5.7319872399999999E-2</v>
      </c>
      <c r="M304" s="83">
        <f>_xlfn.IFNA(INDEX('Shultis Faw'!$F$2:$F$26,MATCH($C304,'Shultis Faw'!$A$2:$A$26,1))+($C304-INDEX('Shultis Faw'!$A$2:$A$26,MATCH($C304,'Shultis Faw'!$A$2:$A$26,1)))*(INDEX('Shultis Faw'!$F$2:$F$26,MATCH($C304,'Shultis Faw'!$A$2:$A$26,1)+1)-INDEX('Shultis Faw'!$F$2:$F$26,MATCH($C304,'Shultis Faw'!$A$2:$A$26,1)))/(INDEX('Shultis Faw'!$A$2:$A$26,MATCH($C304,'Shultis Faw'!$A$2:$A$26,1)+1)-INDEX('Shultis Faw'!$A$2:$A$26,MATCH($C304,'Shultis Faw'!$A$2:$A$26,1))),$C304*'Shultis Faw'!$F$2/'Shultis Faw'!$A$2)</f>
        <v>14.28004316</v>
      </c>
      <c r="N304" s="83">
        <f>J304*(H304*'Externe blootstelling'!$D$23/2)^K304+L304*(TANH(((H304*'Externe blootstelling'!$D$23)/(2*M304))-2)-TANH(-2))/(1-TANH(-2))</f>
        <v>1.7235611907760136</v>
      </c>
      <c r="O304" s="83">
        <f>IF(N304=1,1+(I304-1)*H304*'Externe blootstelling'!$D$23/2,1+(I304-1)*(N304^(H304*'Externe blootstelling'!$D$23/2)-1)/(N304-1))</f>
        <v>3.8417512729625827</v>
      </c>
      <c r="P304" s="67">
        <f>G304*EXP(-H304*'Externe blootstelling'!$D$23/2)*O304</f>
        <v>1.0339546471659043E-2</v>
      </c>
      <c r="Q304" s="68"/>
    </row>
    <row r="305" spans="1:17" x14ac:dyDescent="0.2">
      <c r="A305" s="217"/>
      <c r="B305" s="64" t="s">
        <v>104</v>
      </c>
      <c r="C305" s="66">
        <v>0.46389999999999998</v>
      </c>
      <c r="D305" s="66">
        <f t="shared" ref="D305:D336" si="22">C305*1000000*1.6E-19</f>
        <v>7.4223999999999998E-14</v>
      </c>
      <c r="E305" s="66">
        <v>4.1999999999999998E-5</v>
      </c>
      <c r="F305" s="66">
        <f>_xlfn.IFNA(INDEX('hp (pSv cm2)'!$B$2:$B$52,MATCH($C305,'hp (pSv cm2)'!$A$2:$A$52,1))+($C305-INDEX('hp (pSv cm2)'!$A$2:$A$52,MATCH($C305,'hp (pSv cm2)'!$A$2:$A$52,1)))*(INDEX('hp (pSv cm2)'!$B$2:$B$52,MATCH($C305,'hp (pSv cm2)'!$A$2:$A$52,1)+1)-INDEX('hp (pSv cm2)'!$B$2:$B$52,MATCH($C305,'hp (pSv cm2)'!$A$2:$A$52,1)))/(INDEX('hp (pSv cm2)'!$A$2:$A$52,MATCH($C305,'hp (pSv cm2)'!$A$2:$A$52,1)+1)-INDEX('hp (pSv cm2)'!$A$2:$A$52,MATCH($C305,'hp (pSv cm2)'!$A$2:$A$52,1))),$C305*'hp (pSv cm2)'!$B$2/'hp (pSv cm2)'!$A$2)</f>
        <v>2.3003299999999998</v>
      </c>
      <c r="G305" s="67">
        <f t="shared" ref="G305:G336" si="23">F305*E305</f>
        <v>9.6613859999999984E-5</v>
      </c>
      <c r="H305" s="83">
        <f>_xlfn.IFNA(0.997*(INDEX('Mass attenuation coefficients'!$B$2:$B$37,MATCH($C305,'Mass attenuation coefficients'!$A$2:$A$37,1))+($C305-INDEX('Mass attenuation coefficients'!$A$2:$A$37,MATCH($C305,'Mass attenuation coefficients'!$A$2:$A$37,1)))*(INDEX('Mass attenuation coefficients'!$B$2:$B$37,MATCH($C305,'Mass attenuation coefficients'!$A$2:$A$37,1)+1)-INDEX('Mass attenuation coefficients'!$B$2:$B$37,MATCH($C305,'Mass attenuation coefficients'!$A$2:$A$37,1)))/(INDEX('Mass attenuation coefficients'!$A$2:$A$37,MATCH($C305,'Mass attenuation coefficients'!$A$2:$A$37,1)+1)-INDEX('Mass attenuation coefficients'!$A$2:$A$37,MATCH($C305,'Mass attenuation coefficients'!$A$2:$A$37,1)))),0.997*$C305*'Mass attenuation coefficients'!$B$2/'Mass attenuation coefficients'!$A$2)</f>
        <v>9.9901423909999995E-2</v>
      </c>
      <c r="I305" s="83">
        <f>_xlfn.IFNA(INDEX('Shultis Faw'!$C$2:$C$26,MATCH($C305,'Shultis Faw'!$A$2:$A$26,1))+($C305-INDEX('Shultis Faw'!$A$2:$A$26,MATCH($C305,'Shultis Faw'!$A$2:$A$26,1)))*(INDEX('Shultis Faw'!$C$2:$C$26,MATCH($C305,'Shultis Faw'!$A$2:$A$26,1)+1)-INDEX('Shultis Faw'!$C$2:$C$26,MATCH($C305,'Shultis Faw'!$A$2:$A$26,1)))/(INDEX('Shultis Faw'!$A$2:$A$26,MATCH($C305,'Shultis Faw'!$A$2:$A$26,1)+1)-INDEX('Shultis Faw'!$A$2:$A$26,MATCH($C305,'Shultis Faw'!$A$2:$A$26,1))),$C305*'Shultis Faw'!$C$2/'Shultis Faw'!$A$2)</f>
        <v>2.55776</v>
      </c>
      <c r="J305" s="83">
        <f>_xlfn.IFNA(INDEX('Shultis Faw'!$D$2:$D$26,MATCH($C305,'Shultis Faw'!$A$2:$A$26,1))+($C305-INDEX('Shultis Faw'!$A$2:$A$26,MATCH($C305,'Shultis Faw'!$A$2:$A$26,1)))*(INDEX('Shultis Faw'!$D$2:$D$26,MATCH($C305,'Shultis Faw'!$A$2:$A$26,1)+1)-INDEX('Shultis Faw'!$D$2:$D$26,MATCH($C305,'Shultis Faw'!$A$2:$A$26,1)))/(INDEX('Shultis Faw'!$A$2:$A$26,MATCH($C305,'Shultis Faw'!$A$2:$A$26,1)+1)-INDEX('Shultis Faw'!$A$2:$A$26,MATCH($C305,'Shultis Faw'!$A$2:$A$26,1))),$C305*'Shultis Faw'!$D$2/'Shultis Faw'!$A$2)</f>
        <v>1.807876</v>
      </c>
      <c r="K305" s="83">
        <f>_xlfn.IFNA(INDEX('Shultis Faw'!$B$2:$B$26,MATCH($C305,'Shultis Faw'!$A$2:$A$26,1))+($C305-INDEX('Shultis Faw'!$A$2:$A$26,MATCH($C305,'Shultis Faw'!$A$2:$A$26,1)))*(INDEX('Shultis Faw'!$B$2:$B$26,MATCH($C305,'Shultis Faw'!$A$2:$A$26,1)+1)-INDEX('Shultis Faw'!$B$2:$B$26,MATCH($C305,'Shultis Faw'!$A$2:$A$26,1)))/(INDEX('Shultis Faw'!$A$2:$A$26,MATCH($C305,'Shultis Faw'!$A$2:$A$26,1)+1)-INDEX('Shultis Faw'!$A$2:$A$26,MATCH($C305,'Shultis Faw'!$A$2:$A$26,1))),$C305*'Shultis Faw'!$B$2/'Shultis Faw'!$A$2)</f>
        <v>-0.14005400000000001</v>
      </c>
      <c r="L305" s="83">
        <f>_xlfn.IFNA(INDEX('Shultis Faw'!$E$2:$E$26,MATCH($C305,'Shultis Faw'!$A$2:$A$26,1))+($C305-INDEX('Shultis Faw'!$A$2:$A$26,MATCH($C305,'Shultis Faw'!$A$2:$A$26,1)))*(INDEX('Shultis Faw'!$E$2:$E$26,MATCH($C305,'Shultis Faw'!$A$2:$A$26,1)+1)-INDEX('Shultis Faw'!$E$2:$E$26,MATCH($C305,'Shultis Faw'!$A$2:$A$26,1)))/(INDEX('Shultis Faw'!$A$2:$A$26,MATCH($C305,'Shultis Faw'!$A$2:$A$26,1)+1)-INDEX('Shultis Faw'!$A$2:$A$26,MATCH($C305,'Shultis Faw'!$A$2:$A$26,1))),$C305*'Shultis Faw'!$E$2/'Shultis Faw'!$A$2)</f>
        <v>5.63689E-2</v>
      </c>
      <c r="M305" s="83">
        <f>_xlfn.IFNA(INDEX('Shultis Faw'!$F$2:$F$26,MATCH($C305,'Shultis Faw'!$A$2:$A$26,1))+($C305-INDEX('Shultis Faw'!$A$2:$A$26,MATCH($C305,'Shultis Faw'!$A$2:$A$26,1)))*(INDEX('Shultis Faw'!$F$2:$F$26,MATCH($C305,'Shultis Faw'!$A$2:$A$26,1)+1)-INDEX('Shultis Faw'!$F$2:$F$26,MATCH($C305,'Shultis Faw'!$A$2:$A$26,1)))/(INDEX('Shultis Faw'!$A$2:$A$26,MATCH($C305,'Shultis Faw'!$A$2:$A$26,1)+1)-INDEX('Shultis Faw'!$A$2:$A$26,MATCH($C305,'Shultis Faw'!$A$2:$A$26,1))),$C305*'Shultis Faw'!$F$2/'Shultis Faw'!$A$2)</f>
        <v>14.297510000000001</v>
      </c>
      <c r="N305" s="83">
        <f>J305*(H305*'Externe blootstelling'!$D$23/2)^K305+L305*(TANH(((H305*'Externe blootstelling'!$D$23)/(2*M305))-2)-TANH(-2))/(1-TANH(-2))</f>
        <v>1.7085441142523594</v>
      </c>
      <c r="O305" s="83">
        <f>IF(N305=1,1+(I305-1)*H305*'Externe blootstelling'!$D$23/2,1+(I305-1)*(N305^(H305*'Externe blootstelling'!$D$23/2)-1)/(N305-1))</f>
        <v>3.7074798307417267</v>
      </c>
      <c r="P305" s="67">
        <f>G305*EXP(-H305*'Externe blootstelling'!$D$23/2)*O305</f>
        <v>8.0042136753416158E-5</v>
      </c>
      <c r="Q305" s="68"/>
    </row>
    <row r="306" spans="1:17" x14ac:dyDescent="0.2">
      <c r="A306" s="217"/>
      <c r="B306" s="64" t="s">
        <v>104</v>
      </c>
      <c r="C306" s="66">
        <v>0.46783999999999998</v>
      </c>
      <c r="D306" s="66">
        <f t="shared" si="22"/>
        <v>7.4854399999999995E-14</v>
      </c>
      <c r="E306" s="66">
        <v>6.0400000000000004E-4</v>
      </c>
      <c r="F306" s="66">
        <f>_xlfn.IFNA(INDEX('hp (pSv cm2)'!$B$2:$B$52,MATCH($C306,'hp (pSv cm2)'!$A$2:$A$52,1))+($C306-INDEX('hp (pSv cm2)'!$A$2:$A$52,MATCH($C306,'hp (pSv cm2)'!$A$2:$A$52,1)))*(INDEX('hp (pSv cm2)'!$B$2:$B$52,MATCH($C306,'hp (pSv cm2)'!$A$2:$A$52,1)+1)-INDEX('hp (pSv cm2)'!$B$2:$B$52,MATCH($C306,'hp (pSv cm2)'!$A$2:$A$52,1)))/(INDEX('hp (pSv cm2)'!$A$2:$A$52,MATCH($C306,'hp (pSv cm2)'!$A$2:$A$52,1)+1)-INDEX('hp (pSv cm2)'!$A$2:$A$52,MATCH($C306,'hp (pSv cm2)'!$A$2:$A$52,1))),$C306*'hp (pSv cm2)'!$B$2/'hp (pSv cm2)'!$A$2)</f>
        <v>2.318848</v>
      </c>
      <c r="G306" s="67">
        <f t="shared" si="23"/>
        <v>1.4005841920000002E-3</v>
      </c>
      <c r="H306" s="83">
        <f>_xlfn.IFNA(0.997*(INDEX('Mass attenuation coefficients'!$B$2:$B$37,MATCH($C306,'Mass attenuation coefficients'!$A$2:$A$37,1))+($C306-INDEX('Mass attenuation coefficients'!$A$2:$A$37,MATCH($C306,'Mass attenuation coefficients'!$A$2:$A$37,1)))*(INDEX('Mass attenuation coefficients'!$B$2:$B$37,MATCH($C306,'Mass attenuation coefficients'!$A$2:$A$37,1)+1)-INDEX('Mass attenuation coefficients'!$B$2:$B$37,MATCH($C306,'Mass attenuation coefficients'!$A$2:$A$37,1)))/(INDEX('Mass attenuation coefficients'!$A$2:$A$37,MATCH($C306,'Mass attenuation coefficients'!$A$2:$A$37,1)+1)-INDEX('Mass attenuation coefficients'!$A$2:$A$37,MATCH($C306,'Mass attenuation coefficients'!$A$2:$A$37,1)))),0.997*$C306*'Mass attenuation coefficients'!$B$2/'Mass attenuation coefficients'!$A$2)</f>
        <v>9.9538852895999994E-2</v>
      </c>
      <c r="I306" s="83">
        <f>_xlfn.IFNA(INDEX('Shultis Faw'!$C$2:$C$26,MATCH($C306,'Shultis Faw'!$A$2:$A$26,1))+($C306-INDEX('Shultis Faw'!$A$2:$A$26,MATCH($C306,'Shultis Faw'!$A$2:$A$26,1)))*(INDEX('Shultis Faw'!$C$2:$C$26,MATCH($C306,'Shultis Faw'!$A$2:$A$26,1)+1)-INDEX('Shultis Faw'!$C$2:$C$26,MATCH($C306,'Shultis Faw'!$A$2:$A$26,1)))/(INDEX('Shultis Faw'!$A$2:$A$26,MATCH($C306,'Shultis Faw'!$A$2:$A$26,1)+1)-INDEX('Shultis Faw'!$A$2:$A$26,MATCH($C306,'Shultis Faw'!$A$2:$A$26,1))),$C306*'Shultis Faw'!$C$2/'Shultis Faw'!$A$2)</f>
        <v>2.5514559999999999</v>
      </c>
      <c r="J306" s="83">
        <f>_xlfn.IFNA(INDEX('Shultis Faw'!$D$2:$D$26,MATCH($C306,'Shultis Faw'!$A$2:$A$26,1))+($C306-INDEX('Shultis Faw'!$A$2:$A$26,MATCH($C306,'Shultis Faw'!$A$2:$A$26,1)))*(INDEX('Shultis Faw'!$D$2:$D$26,MATCH($C306,'Shultis Faw'!$A$2:$A$26,1)+1)-INDEX('Shultis Faw'!$D$2:$D$26,MATCH($C306,'Shultis Faw'!$A$2:$A$26,1)))/(INDEX('Shultis Faw'!$A$2:$A$26,MATCH($C306,'Shultis Faw'!$A$2:$A$26,1)+1)-INDEX('Shultis Faw'!$A$2:$A$26,MATCH($C306,'Shultis Faw'!$A$2:$A$26,1))),$C306*'Shultis Faw'!$D$2/'Shultis Faw'!$A$2)</f>
        <v>1.8033056000000001</v>
      </c>
      <c r="K306" s="83">
        <f>_xlfn.IFNA(INDEX('Shultis Faw'!$B$2:$B$26,MATCH($C306,'Shultis Faw'!$A$2:$A$26,1))+($C306-INDEX('Shultis Faw'!$A$2:$A$26,MATCH($C306,'Shultis Faw'!$A$2:$A$26,1)))*(INDEX('Shultis Faw'!$B$2:$B$26,MATCH($C306,'Shultis Faw'!$A$2:$A$26,1)+1)-INDEX('Shultis Faw'!$B$2:$B$26,MATCH($C306,'Shultis Faw'!$A$2:$A$26,1)))/(INDEX('Shultis Faw'!$A$2:$A$26,MATCH($C306,'Shultis Faw'!$A$2:$A$26,1)+1)-INDEX('Shultis Faw'!$A$2:$A$26,MATCH($C306,'Shultis Faw'!$A$2:$A$26,1))),$C306*'Shultis Faw'!$B$2/'Shultis Faw'!$A$2)</f>
        <v>-0.1395024</v>
      </c>
      <c r="L306" s="83">
        <f>_xlfn.IFNA(INDEX('Shultis Faw'!$E$2:$E$26,MATCH($C306,'Shultis Faw'!$A$2:$A$26,1))+($C306-INDEX('Shultis Faw'!$A$2:$A$26,MATCH($C306,'Shultis Faw'!$A$2:$A$26,1)))*(INDEX('Shultis Faw'!$E$2:$E$26,MATCH($C306,'Shultis Faw'!$A$2:$A$26,1)+1)-INDEX('Shultis Faw'!$E$2:$E$26,MATCH($C306,'Shultis Faw'!$A$2:$A$26,1)))/(INDEX('Shultis Faw'!$A$2:$A$26,MATCH($C306,'Shultis Faw'!$A$2:$A$26,1)+1)-INDEX('Shultis Faw'!$A$2:$A$26,MATCH($C306,'Shultis Faw'!$A$2:$A$26,1))),$C306*'Shultis Faw'!$E$2/'Shultis Faw'!$A$2)</f>
        <v>5.6175840000000005E-2</v>
      </c>
      <c r="M306" s="83">
        <f>_xlfn.IFNA(INDEX('Shultis Faw'!$F$2:$F$26,MATCH($C306,'Shultis Faw'!$A$2:$A$26,1))+($C306-INDEX('Shultis Faw'!$A$2:$A$26,MATCH($C306,'Shultis Faw'!$A$2:$A$26,1)))*(INDEX('Shultis Faw'!$F$2:$F$26,MATCH($C306,'Shultis Faw'!$A$2:$A$26,1)+1)-INDEX('Shultis Faw'!$F$2:$F$26,MATCH($C306,'Shultis Faw'!$A$2:$A$26,1)))/(INDEX('Shultis Faw'!$A$2:$A$26,MATCH($C306,'Shultis Faw'!$A$2:$A$26,1)+1)-INDEX('Shultis Faw'!$A$2:$A$26,MATCH($C306,'Shultis Faw'!$A$2:$A$26,1))),$C306*'Shultis Faw'!$F$2/'Shultis Faw'!$A$2)</f>
        <v>14.301056000000001</v>
      </c>
      <c r="N306" s="83">
        <f>J306*(H306*'Externe blootstelling'!$D$23/2)^K306+L306*(TANH(((H306*'Externe blootstelling'!$D$23)/(2*M306))-2)-TANH(-2))/(1-TANH(-2))</f>
        <v>1.7054685378550722</v>
      </c>
      <c r="O306" s="83">
        <f>IF(N306=1,1+(I306-1)*H306*'Externe blootstelling'!$D$23/2,1+(I306-1)*(N306^(H306*'Externe blootstelling'!$D$23/2)-1)/(N306-1))</f>
        <v>3.680857997678904</v>
      </c>
      <c r="P306" s="67">
        <f>G306*EXP(-H306*'Externe blootstelling'!$D$23/2)*O306</f>
        <v>1.1582989572251243E-3</v>
      </c>
      <c r="Q306" s="68"/>
    </row>
    <row r="307" spans="1:17" x14ac:dyDescent="0.2">
      <c r="A307" s="217"/>
      <c r="B307" s="64" t="s">
        <v>104</v>
      </c>
      <c r="C307" s="66">
        <v>0.47826999999999997</v>
      </c>
      <c r="D307" s="66">
        <f t="shared" si="22"/>
        <v>7.652319999999999E-14</v>
      </c>
      <c r="E307" s="66">
        <v>2.2400000000000002E-3</v>
      </c>
      <c r="F307" s="66">
        <f>_xlfn.IFNA(INDEX('hp (pSv cm2)'!$B$2:$B$52,MATCH($C307,'hp (pSv cm2)'!$A$2:$A$52,1))+($C307-INDEX('hp (pSv cm2)'!$A$2:$A$52,MATCH($C307,'hp (pSv cm2)'!$A$2:$A$52,1)))*(INDEX('hp (pSv cm2)'!$B$2:$B$52,MATCH($C307,'hp (pSv cm2)'!$A$2:$A$52,1)+1)-INDEX('hp (pSv cm2)'!$B$2:$B$52,MATCH($C307,'hp (pSv cm2)'!$A$2:$A$52,1)))/(INDEX('hp (pSv cm2)'!$A$2:$A$52,MATCH($C307,'hp (pSv cm2)'!$A$2:$A$52,1)+1)-INDEX('hp (pSv cm2)'!$A$2:$A$52,MATCH($C307,'hp (pSv cm2)'!$A$2:$A$52,1))),$C307*'hp (pSv cm2)'!$B$2/'hp (pSv cm2)'!$A$2)</f>
        <v>2.3678689999999998</v>
      </c>
      <c r="G307" s="67">
        <f t="shared" si="23"/>
        <v>5.3040265600000002E-3</v>
      </c>
      <c r="H307" s="83">
        <f>_xlfn.IFNA(0.997*(INDEX('Mass attenuation coefficients'!$B$2:$B$37,MATCH($C307,'Mass attenuation coefficients'!$A$2:$A$37,1))+($C307-INDEX('Mass attenuation coefficients'!$A$2:$A$37,MATCH($C307,'Mass attenuation coefficients'!$A$2:$A$37,1)))*(INDEX('Mass attenuation coefficients'!$B$2:$B$37,MATCH($C307,'Mass attenuation coefficients'!$A$2:$A$37,1)+1)-INDEX('Mass attenuation coefficients'!$B$2:$B$37,MATCH($C307,'Mass attenuation coefficients'!$A$2:$A$37,1)))/(INDEX('Mass attenuation coefficients'!$A$2:$A$37,MATCH($C307,'Mass attenuation coefficients'!$A$2:$A$37,1)+1)-INDEX('Mass attenuation coefficients'!$A$2:$A$37,MATCH($C307,'Mass attenuation coefficients'!$A$2:$A$37,1)))),0.997*$C307*'Mass attenuation coefficients'!$B$2/'Mass attenuation coefficients'!$A$2)</f>
        <v>9.8579051963000014E-2</v>
      </c>
      <c r="I307" s="83">
        <f>_xlfn.IFNA(INDEX('Shultis Faw'!$C$2:$C$26,MATCH($C307,'Shultis Faw'!$A$2:$A$26,1))+($C307-INDEX('Shultis Faw'!$A$2:$A$26,MATCH($C307,'Shultis Faw'!$A$2:$A$26,1)))*(INDEX('Shultis Faw'!$C$2:$C$26,MATCH($C307,'Shultis Faw'!$A$2:$A$26,1)+1)-INDEX('Shultis Faw'!$C$2:$C$26,MATCH($C307,'Shultis Faw'!$A$2:$A$26,1)))/(INDEX('Shultis Faw'!$A$2:$A$26,MATCH($C307,'Shultis Faw'!$A$2:$A$26,1)+1)-INDEX('Shultis Faw'!$A$2:$A$26,MATCH($C307,'Shultis Faw'!$A$2:$A$26,1))),$C307*'Shultis Faw'!$C$2/'Shultis Faw'!$A$2)</f>
        <v>2.5347680000000001</v>
      </c>
      <c r="J307" s="83">
        <f>_xlfn.IFNA(INDEX('Shultis Faw'!$D$2:$D$26,MATCH($C307,'Shultis Faw'!$A$2:$A$26,1))+($C307-INDEX('Shultis Faw'!$A$2:$A$26,MATCH($C307,'Shultis Faw'!$A$2:$A$26,1)))*(INDEX('Shultis Faw'!$D$2:$D$26,MATCH($C307,'Shultis Faw'!$A$2:$A$26,1)+1)-INDEX('Shultis Faw'!$D$2:$D$26,MATCH($C307,'Shultis Faw'!$A$2:$A$26,1)))/(INDEX('Shultis Faw'!$A$2:$A$26,MATCH($C307,'Shultis Faw'!$A$2:$A$26,1)+1)-INDEX('Shultis Faw'!$A$2:$A$26,MATCH($C307,'Shultis Faw'!$A$2:$A$26,1))),$C307*'Shultis Faw'!$D$2/'Shultis Faw'!$A$2)</f>
        <v>1.7912068000000001</v>
      </c>
      <c r="K307" s="83">
        <f>_xlfn.IFNA(INDEX('Shultis Faw'!$B$2:$B$26,MATCH($C307,'Shultis Faw'!$A$2:$A$26,1))+($C307-INDEX('Shultis Faw'!$A$2:$A$26,MATCH($C307,'Shultis Faw'!$A$2:$A$26,1)))*(INDEX('Shultis Faw'!$B$2:$B$26,MATCH($C307,'Shultis Faw'!$A$2:$A$26,1)+1)-INDEX('Shultis Faw'!$B$2:$B$26,MATCH($C307,'Shultis Faw'!$A$2:$A$26,1)))/(INDEX('Shultis Faw'!$A$2:$A$26,MATCH($C307,'Shultis Faw'!$A$2:$A$26,1)+1)-INDEX('Shultis Faw'!$A$2:$A$26,MATCH($C307,'Shultis Faw'!$A$2:$A$26,1))),$C307*'Shultis Faw'!$B$2/'Shultis Faw'!$A$2)</f>
        <v>-0.1380422</v>
      </c>
      <c r="L307" s="83">
        <f>_xlfn.IFNA(INDEX('Shultis Faw'!$E$2:$E$26,MATCH($C307,'Shultis Faw'!$A$2:$A$26,1))+($C307-INDEX('Shultis Faw'!$A$2:$A$26,MATCH($C307,'Shultis Faw'!$A$2:$A$26,1)))*(INDEX('Shultis Faw'!$E$2:$E$26,MATCH($C307,'Shultis Faw'!$A$2:$A$26,1)+1)-INDEX('Shultis Faw'!$E$2:$E$26,MATCH($C307,'Shultis Faw'!$A$2:$A$26,1)))/(INDEX('Shultis Faw'!$A$2:$A$26,MATCH($C307,'Shultis Faw'!$A$2:$A$26,1)+1)-INDEX('Shultis Faw'!$A$2:$A$26,MATCH($C307,'Shultis Faw'!$A$2:$A$26,1))),$C307*'Shultis Faw'!$E$2/'Shultis Faw'!$A$2)</f>
        <v>5.5664770000000002E-2</v>
      </c>
      <c r="M307" s="83">
        <f>_xlfn.IFNA(INDEX('Shultis Faw'!$F$2:$F$26,MATCH($C307,'Shultis Faw'!$A$2:$A$26,1))+($C307-INDEX('Shultis Faw'!$A$2:$A$26,MATCH($C307,'Shultis Faw'!$A$2:$A$26,1)))*(INDEX('Shultis Faw'!$F$2:$F$26,MATCH($C307,'Shultis Faw'!$A$2:$A$26,1)+1)-INDEX('Shultis Faw'!$F$2:$F$26,MATCH($C307,'Shultis Faw'!$A$2:$A$26,1)))/(INDEX('Shultis Faw'!$A$2:$A$26,MATCH($C307,'Shultis Faw'!$A$2:$A$26,1)+1)-INDEX('Shultis Faw'!$A$2:$A$26,MATCH($C307,'Shultis Faw'!$A$2:$A$26,1))),$C307*'Shultis Faw'!$F$2/'Shultis Faw'!$A$2)</f>
        <v>14.310442999999999</v>
      </c>
      <c r="N307" s="83">
        <f>J307*(H307*'Externe blootstelling'!$D$23/2)^K307+L307*(TANH(((H307*'Externe blootstelling'!$D$23)/(2*M307))-2)-TANH(-2))/(1-TANH(-2))</f>
        <v>1.6972829905021667</v>
      </c>
      <c r="O307" s="83">
        <f>IF(N307=1,1+(I307-1)*H307*'Externe blootstelling'!$D$23/2,1+(I307-1)*(N307^(H307*'Externe blootstelling'!$D$23/2)-1)/(N307-1))</f>
        <v>3.6114007928986913</v>
      </c>
      <c r="P307" s="67">
        <f>G307*EXP(-H307*'Externe blootstelling'!$D$23/2)*O307</f>
        <v>4.3661264027416566E-3</v>
      </c>
      <c r="Q307" s="68"/>
    </row>
    <row r="308" spans="1:17" x14ac:dyDescent="0.2">
      <c r="A308" s="217"/>
      <c r="B308" s="64" t="s">
        <v>104</v>
      </c>
      <c r="C308" s="66">
        <v>0.48061000000000004</v>
      </c>
      <c r="D308" s="66">
        <f t="shared" si="22"/>
        <v>7.6897600000000009E-14</v>
      </c>
      <c r="E308" s="66">
        <v>4.7999999999999994E-5</v>
      </c>
      <c r="F308" s="66">
        <f>_xlfn.IFNA(INDEX('hp (pSv cm2)'!$B$2:$B$52,MATCH($C308,'hp (pSv cm2)'!$A$2:$A$52,1))+($C308-INDEX('hp (pSv cm2)'!$A$2:$A$52,MATCH($C308,'hp (pSv cm2)'!$A$2:$A$52,1)))*(INDEX('hp (pSv cm2)'!$B$2:$B$52,MATCH($C308,'hp (pSv cm2)'!$A$2:$A$52,1)+1)-INDEX('hp (pSv cm2)'!$B$2:$B$52,MATCH($C308,'hp (pSv cm2)'!$A$2:$A$52,1)))/(INDEX('hp (pSv cm2)'!$A$2:$A$52,MATCH($C308,'hp (pSv cm2)'!$A$2:$A$52,1)+1)-INDEX('hp (pSv cm2)'!$A$2:$A$52,MATCH($C308,'hp (pSv cm2)'!$A$2:$A$52,1))),$C308*'hp (pSv cm2)'!$B$2/'hp (pSv cm2)'!$A$2)</f>
        <v>2.3788670000000005</v>
      </c>
      <c r="G308" s="67">
        <f t="shared" si="23"/>
        <v>1.1418561600000001E-4</v>
      </c>
      <c r="H308" s="83">
        <f>_xlfn.IFNA(0.997*(INDEX('Mass attenuation coefficients'!$B$2:$B$37,MATCH($C308,'Mass attenuation coefficients'!$A$2:$A$37,1))+($C308-INDEX('Mass attenuation coefficients'!$A$2:$A$37,MATCH($C308,'Mass attenuation coefficients'!$A$2:$A$37,1)))*(INDEX('Mass attenuation coefficients'!$B$2:$B$37,MATCH($C308,'Mass attenuation coefficients'!$A$2:$A$37,1)+1)-INDEX('Mass attenuation coefficients'!$B$2:$B$37,MATCH($C308,'Mass attenuation coefficients'!$A$2:$A$37,1)))/(INDEX('Mass attenuation coefficients'!$A$2:$A$37,MATCH($C308,'Mass attenuation coefficients'!$A$2:$A$37,1)+1)-INDEX('Mass attenuation coefficients'!$A$2:$A$37,MATCH($C308,'Mass attenuation coefficients'!$A$2:$A$37,1)))),0.997*$C308*'Mass attenuation coefficients'!$B$2/'Mass attenuation coefficients'!$A$2)</f>
        <v>9.836371790899999E-2</v>
      </c>
      <c r="I308" s="83">
        <f>_xlfn.IFNA(INDEX('Shultis Faw'!$C$2:$C$26,MATCH($C308,'Shultis Faw'!$A$2:$A$26,1))+($C308-INDEX('Shultis Faw'!$A$2:$A$26,MATCH($C308,'Shultis Faw'!$A$2:$A$26,1)))*(INDEX('Shultis Faw'!$C$2:$C$26,MATCH($C308,'Shultis Faw'!$A$2:$A$26,1)+1)-INDEX('Shultis Faw'!$C$2:$C$26,MATCH($C308,'Shultis Faw'!$A$2:$A$26,1)))/(INDEX('Shultis Faw'!$A$2:$A$26,MATCH($C308,'Shultis Faw'!$A$2:$A$26,1)+1)-INDEX('Shultis Faw'!$A$2:$A$26,MATCH($C308,'Shultis Faw'!$A$2:$A$26,1))),$C308*'Shultis Faw'!$C$2/'Shultis Faw'!$A$2)</f>
        <v>2.5310239999999999</v>
      </c>
      <c r="J308" s="83">
        <f>_xlfn.IFNA(INDEX('Shultis Faw'!$D$2:$D$26,MATCH($C308,'Shultis Faw'!$A$2:$A$26,1))+($C308-INDEX('Shultis Faw'!$A$2:$A$26,MATCH($C308,'Shultis Faw'!$A$2:$A$26,1)))*(INDEX('Shultis Faw'!$D$2:$D$26,MATCH($C308,'Shultis Faw'!$A$2:$A$26,1)+1)-INDEX('Shultis Faw'!$D$2:$D$26,MATCH($C308,'Shultis Faw'!$A$2:$A$26,1)))/(INDEX('Shultis Faw'!$A$2:$A$26,MATCH($C308,'Shultis Faw'!$A$2:$A$26,1)+1)-INDEX('Shultis Faw'!$A$2:$A$26,MATCH($C308,'Shultis Faw'!$A$2:$A$26,1))),$C308*'Shultis Faw'!$D$2/'Shultis Faw'!$A$2)</f>
        <v>1.7884924</v>
      </c>
      <c r="K308" s="83">
        <f>_xlfn.IFNA(INDEX('Shultis Faw'!$B$2:$B$26,MATCH($C308,'Shultis Faw'!$A$2:$A$26,1))+($C308-INDEX('Shultis Faw'!$A$2:$A$26,MATCH($C308,'Shultis Faw'!$A$2:$A$26,1)))*(INDEX('Shultis Faw'!$B$2:$B$26,MATCH($C308,'Shultis Faw'!$A$2:$A$26,1)+1)-INDEX('Shultis Faw'!$B$2:$B$26,MATCH($C308,'Shultis Faw'!$A$2:$A$26,1)))/(INDEX('Shultis Faw'!$A$2:$A$26,MATCH($C308,'Shultis Faw'!$A$2:$A$26,1)+1)-INDEX('Shultis Faw'!$A$2:$A$26,MATCH($C308,'Shultis Faw'!$A$2:$A$26,1))),$C308*'Shultis Faw'!$B$2/'Shultis Faw'!$A$2)</f>
        <v>-0.13771459999999999</v>
      </c>
      <c r="L308" s="83">
        <f>_xlfn.IFNA(INDEX('Shultis Faw'!$E$2:$E$26,MATCH($C308,'Shultis Faw'!$A$2:$A$26,1))+($C308-INDEX('Shultis Faw'!$A$2:$A$26,MATCH($C308,'Shultis Faw'!$A$2:$A$26,1)))*(INDEX('Shultis Faw'!$E$2:$E$26,MATCH($C308,'Shultis Faw'!$A$2:$A$26,1)+1)-INDEX('Shultis Faw'!$E$2:$E$26,MATCH($C308,'Shultis Faw'!$A$2:$A$26,1)))/(INDEX('Shultis Faw'!$A$2:$A$26,MATCH($C308,'Shultis Faw'!$A$2:$A$26,1)+1)-INDEX('Shultis Faw'!$A$2:$A$26,MATCH($C308,'Shultis Faw'!$A$2:$A$26,1))),$C308*'Shultis Faw'!$E$2/'Shultis Faw'!$A$2)</f>
        <v>5.555011E-2</v>
      </c>
      <c r="M308" s="83">
        <f>_xlfn.IFNA(INDEX('Shultis Faw'!$F$2:$F$26,MATCH($C308,'Shultis Faw'!$A$2:$A$26,1))+($C308-INDEX('Shultis Faw'!$A$2:$A$26,MATCH($C308,'Shultis Faw'!$A$2:$A$26,1)))*(INDEX('Shultis Faw'!$F$2:$F$26,MATCH($C308,'Shultis Faw'!$A$2:$A$26,1)+1)-INDEX('Shultis Faw'!$F$2:$F$26,MATCH($C308,'Shultis Faw'!$A$2:$A$26,1)))/(INDEX('Shultis Faw'!$A$2:$A$26,MATCH($C308,'Shultis Faw'!$A$2:$A$26,1)+1)-INDEX('Shultis Faw'!$A$2:$A$26,MATCH($C308,'Shultis Faw'!$A$2:$A$26,1))),$C308*'Shultis Faw'!$F$2/'Shultis Faw'!$A$2)</f>
        <v>14.312549000000001</v>
      </c>
      <c r="N308" s="83">
        <f>J308*(H308*'Externe blootstelling'!$D$23/2)^K308+L308*(TANH(((H308*'Externe blootstelling'!$D$23)/(2*M308))-2)-TANH(-2))/(1-TANH(-2))</f>
        <v>1.6954377952164115</v>
      </c>
      <c r="O308" s="83">
        <f>IF(N308=1,1+(I308-1)*H308*'Externe blootstelling'!$D$23/2,1+(I308-1)*(N308^(H308*'Externe blootstelling'!$D$23/2)-1)/(N308-1))</f>
        <v>3.5960184016491472</v>
      </c>
      <c r="P308" s="67">
        <f>G308*EXP(-H308*'Externe blootstelling'!$D$23/2)*O308</f>
        <v>9.3896846311150592E-5</v>
      </c>
      <c r="Q308" s="68"/>
    </row>
    <row r="309" spans="1:17" x14ac:dyDescent="0.2">
      <c r="A309" s="217"/>
      <c r="B309" s="64" t="s">
        <v>104</v>
      </c>
      <c r="C309" s="66">
        <v>0.48374</v>
      </c>
      <c r="D309" s="66">
        <f t="shared" si="22"/>
        <v>7.7398400000000001E-14</v>
      </c>
      <c r="E309" s="66">
        <v>5.0000000000000002E-5</v>
      </c>
      <c r="F309" s="66">
        <f>_xlfn.IFNA(INDEX('hp (pSv cm2)'!$B$2:$B$52,MATCH($C309,'hp (pSv cm2)'!$A$2:$A$52,1))+($C309-INDEX('hp (pSv cm2)'!$A$2:$A$52,MATCH($C309,'hp (pSv cm2)'!$A$2:$A$52,1)))*(INDEX('hp (pSv cm2)'!$B$2:$B$52,MATCH($C309,'hp (pSv cm2)'!$A$2:$A$52,1)+1)-INDEX('hp (pSv cm2)'!$B$2:$B$52,MATCH($C309,'hp (pSv cm2)'!$A$2:$A$52,1)))/(INDEX('hp (pSv cm2)'!$A$2:$A$52,MATCH($C309,'hp (pSv cm2)'!$A$2:$A$52,1)+1)-INDEX('hp (pSv cm2)'!$A$2:$A$52,MATCH($C309,'hp (pSv cm2)'!$A$2:$A$52,1))),$C309*'hp (pSv cm2)'!$B$2/'hp (pSv cm2)'!$A$2)</f>
        <v>2.3935780000000002</v>
      </c>
      <c r="G309" s="67">
        <f t="shared" si="23"/>
        <v>1.1967890000000001E-4</v>
      </c>
      <c r="H309" s="83">
        <f>_xlfn.IFNA(0.997*(INDEX('Mass attenuation coefficients'!$B$2:$B$37,MATCH($C309,'Mass attenuation coefficients'!$A$2:$A$37,1))+($C309-INDEX('Mass attenuation coefficients'!$A$2:$A$37,MATCH($C309,'Mass attenuation coefficients'!$A$2:$A$37,1)))*(INDEX('Mass attenuation coefficients'!$B$2:$B$37,MATCH($C309,'Mass attenuation coefficients'!$A$2:$A$37,1)+1)-INDEX('Mass attenuation coefficients'!$B$2:$B$37,MATCH($C309,'Mass attenuation coefficients'!$A$2:$A$37,1)))/(INDEX('Mass attenuation coefficients'!$A$2:$A$37,MATCH($C309,'Mass attenuation coefficients'!$A$2:$A$37,1)+1)-INDEX('Mass attenuation coefficients'!$A$2:$A$37,MATCH($C309,'Mass attenuation coefficients'!$A$2:$A$37,1)))),0.997*$C309*'Mass attenuation coefficients'!$B$2/'Mass attenuation coefficients'!$A$2)</f>
        <v>9.8075685605999996E-2</v>
      </c>
      <c r="I309" s="83">
        <f>_xlfn.IFNA(INDEX('Shultis Faw'!$C$2:$C$26,MATCH($C309,'Shultis Faw'!$A$2:$A$26,1))+($C309-INDEX('Shultis Faw'!$A$2:$A$26,MATCH($C309,'Shultis Faw'!$A$2:$A$26,1)))*(INDEX('Shultis Faw'!$C$2:$C$26,MATCH($C309,'Shultis Faw'!$A$2:$A$26,1)+1)-INDEX('Shultis Faw'!$C$2:$C$26,MATCH($C309,'Shultis Faw'!$A$2:$A$26,1)))/(INDEX('Shultis Faw'!$A$2:$A$26,MATCH($C309,'Shultis Faw'!$A$2:$A$26,1)+1)-INDEX('Shultis Faw'!$A$2:$A$26,MATCH($C309,'Shultis Faw'!$A$2:$A$26,1))),$C309*'Shultis Faw'!$C$2/'Shultis Faw'!$A$2)</f>
        <v>2.5260160000000003</v>
      </c>
      <c r="J309" s="83">
        <f>_xlfn.IFNA(INDEX('Shultis Faw'!$D$2:$D$26,MATCH($C309,'Shultis Faw'!$A$2:$A$26,1))+($C309-INDEX('Shultis Faw'!$A$2:$A$26,MATCH($C309,'Shultis Faw'!$A$2:$A$26,1)))*(INDEX('Shultis Faw'!$D$2:$D$26,MATCH($C309,'Shultis Faw'!$A$2:$A$26,1)+1)-INDEX('Shultis Faw'!$D$2:$D$26,MATCH($C309,'Shultis Faw'!$A$2:$A$26,1)))/(INDEX('Shultis Faw'!$A$2:$A$26,MATCH($C309,'Shultis Faw'!$A$2:$A$26,1)+1)-INDEX('Shultis Faw'!$A$2:$A$26,MATCH($C309,'Shultis Faw'!$A$2:$A$26,1))),$C309*'Shultis Faw'!$D$2/'Shultis Faw'!$A$2)</f>
        <v>1.7848615999999999</v>
      </c>
      <c r="K309" s="83">
        <f>_xlfn.IFNA(INDEX('Shultis Faw'!$B$2:$B$26,MATCH($C309,'Shultis Faw'!$A$2:$A$26,1))+($C309-INDEX('Shultis Faw'!$A$2:$A$26,MATCH($C309,'Shultis Faw'!$A$2:$A$26,1)))*(INDEX('Shultis Faw'!$B$2:$B$26,MATCH($C309,'Shultis Faw'!$A$2:$A$26,1)+1)-INDEX('Shultis Faw'!$B$2:$B$26,MATCH($C309,'Shultis Faw'!$A$2:$A$26,1)))/(INDEX('Shultis Faw'!$A$2:$A$26,MATCH($C309,'Shultis Faw'!$A$2:$A$26,1)+1)-INDEX('Shultis Faw'!$A$2:$A$26,MATCH($C309,'Shultis Faw'!$A$2:$A$26,1))),$C309*'Shultis Faw'!$B$2/'Shultis Faw'!$A$2)</f>
        <v>-0.13727640000000002</v>
      </c>
      <c r="L309" s="83">
        <f>_xlfn.IFNA(INDEX('Shultis Faw'!$E$2:$E$26,MATCH($C309,'Shultis Faw'!$A$2:$A$26,1))+($C309-INDEX('Shultis Faw'!$A$2:$A$26,MATCH($C309,'Shultis Faw'!$A$2:$A$26,1)))*(INDEX('Shultis Faw'!$E$2:$E$26,MATCH($C309,'Shultis Faw'!$A$2:$A$26,1)+1)-INDEX('Shultis Faw'!$E$2:$E$26,MATCH($C309,'Shultis Faw'!$A$2:$A$26,1)))/(INDEX('Shultis Faw'!$A$2:$A$26,MATCH($C309,'Shultis Faw'!$A$2:$A$26,1)+1)-INDEX('Shultis Faw'!$A$2:$A$26,MATCH($C309,'Shultis Faw'!$A$2:$A$26,1))),$C309*'Shultis Faw'!$E$2/'Shultis Faw'!$A$2)</f>
        <v>5.539674E-2</v>
      </c>
      <c r="M309" s="83">
        <f>_xlfn.IFNA(INDEX('Shultis Faw'!$F$2:$F$26,MATCH($C309,'Shultis Faw'!$A$2:$A$26,1))+($C309-INDEX('Shultis Faw'!$A$2:$A$26,MATCH($C309,'Shultis Faw'!$A$2:$A$26,1)))*(INDEX('Shultis Faw'!$F$2:$F$26,MATCH($C309,'Shultis Faw'!$A$2:$A$26,1)+1)-INDEX('Shultis Faw'!$F$2:$F$26,MATCH($C309,'Shultis Faw'!$A$2:$A$26,1)))/(INDEX('Shultis Faw'!$A$2:$A$26,MATCH($C309,'Shultis Faw'!$A$2:$A$26,1)+1)-INDEX('Shultis Faw'!$A$2:$A$26,MATCH($C309,'Shultis Faw'!$A$2:$A$26,1))),$C309*'Shultis Faw'!$F$2/'Shultis Faw'!$A$2)</f>
        <v>14.315366000000001</v>
      </c>
      <c r="N309" s="83">
        <f>J309*(H309*'Externe blootstelling'!$D$23/2)^K309+L309*(TANH(((H309*'Externe blootstelling'!$D$23)/(2*M309))-2)-TANH(-2))/(1-TANH(-2))</f>
        <v>1.692964638725599</v>
      </c>
      <c r="O309" s="83">
        <f>IF(N309=1,1+(I309-1)*H309*'Externe blootstelling'!$D$23/2,1+(I309-1)*(N309^(H309*'Externe blootstelling'!$D$23/2)-1)/(N309-1))</f>
        <v>3.5755565708478363</v>
      </c>
      <c r="P309" s="67">
        <f>G309*EXP(-H309*'Externe blootstelling'!$D$23/2)*O309</f>
        <v>9.8277772946002919E-5</v>
      </c>
      <c r="Q309" s="68"/>
    </row>
    <row r="310" spans="1:17" x14ac:dyDescent="0.2">
      <c r="A310" s="217"/>
      <c r="B310" s="64" t="s">
        <v>104</v>
      </c>
      <c r="C310" s="66">
        <v>0.48463999999999996</v>
      </c>
      <c r="D310" s="66">
        <f t="shared" si="22"/>
        <v>7.7542399999999988E-14</v>
      </c>
      <c r="E310" s="66">
        <v>3.8999999999999999E-5</v>
      </c>
      <c r="F310" s="66">
        <f>_xlfn.IFNA(INDEX('hp (pSv cm2)'!$B$2:$B$52,MATCH($C310,'hp (pSv cm2)'!$A$2:$A$52,1))+($C310-INDEX('hp (pSv cm2)'!$A$2:$A$52,MATCH($C310,'hp (pSv cm2)'!$A$2:$A$52,1)))*(INDEX('hp (pSv cm2)'!$B$2:$B$52,MATCH($C310,'hp (pSv cm2)'!$A$2:$A$52,1)+1)-INDEX('hp (pSv cm2)'!$B$2:$B$52,MATCH($C310,'hp (pSv cm2)'!$A$2:$A$52,1)))/(INDEX('hp (pSv cm2)'!$A$2:$A$52,MATCH($C310,'hp (pSv cm2)'!$A$2:$A$52,1)+1)-INDEX('hp (pSv cm2)'!$A$2:$A$52,MATCH($C310,'hp (pSv cm2)'!$A$2:$A$52,1))),$C310*'hp (pSv cm2)'!$B$2/'hp (pSv cm2)'!$A$2)</f>
        <v>2.3978079999999999</v>
      </c>
      <c r="G310" s="67">
        <f t="shared" si="23"/>
        <v>9.3514512E-5</v>
      </c>
      <c r="H310" s="83">
        <f>_xlfn.IFNA(0.997*(INDEX('Mass attenuation coefficients'!$B$2:$B$37,MATCH($C310,'Mass attenuation coefficients'!$A$2:$A$37,1))+($C310-INDEX('Mass attenuation coefficients'!$A$2:$A$37,MATCH($C310,'Mass attenuation coefficients'!$A$2:$A$37,1)))*(INDEX('Mass attenuation coefficients'!$B$2:$B$37,MATCH($C310,'Mass attenuation coefficients'!$A$2:$A$37,1)+1)-INDEX('Mass attenuation coefficients'!$B$2:$B$37,MATCH($C310,'Mass attenuation coefficients'!$A$2:$A$37,1)))/(INDEX('Mass attenuation coefficients'!$A$2:$A$37,MATCH($C310,'Mass attenuation coefficients'!$A$2:$A$37,1)+1)-INDEX('Mass attenuation coefficients'!$A$2:$A$37,MATCH($C310,'Mass attenuation coefficients'!$A$2:$A$37,1)))),0.997*$C310*'Mass attenuation coefficients'!$B$2/'Mass attenuation coefficients'!$A$2)</f>
        <v>9.7992864816000003E-2</v>
      </c>
      <c r="I310" s="83">
        <f>_xlfn.IFNA(INDEX('Shultis Faw'!$C$2:$C$26,MATCH($C310,'Shultis Faw'!$A$2:$A$26,1))+($C310-INDEX('Shultis Faw'!$A$2:$A$26,MATCH($C310,'Shultis Faw'!$A$2:$A$26,1)))*(INDEX('Shultis Faw'!$C$2:$C$26,MATCH($C310,'Shultis Faw'!$A$2:$A$26,1)+1)-INDEX('Shultis Faw'!$C$2:$C$26,MATCH($C310,'Shultis Faw'!$A$2:$A$26,1)))/(INDEX('Shultis Faw'!$A$2:$A$26,MATCH($C310,'Shultis Faw'!$A$2:$A$26,1)+1)-INDEX('Shultis Faw'!$A$2:$A$26,MATCH($C310,'Shultis Faw'!$A$2:$A$26,1))),$C310*'Shultis Faw'!$C$2/'Shultis Faw'!$A$2)</f>
        <v>2.5245760000000002</v>
      </c>
      <c r="J310" s="83">
        <f>_xlfn.IFNA(INDEX('Shultis Faw'!$D$2:$D$26,MATCH($C310,'Shultis Faw'!$A$2:$A$26,1))+($C310-INDEX('Shultis Faw'!$A$2:$A$26,MATCH($C310,'Shultis Faw'!$A$2:$A$26,1)))*(INDEX('Shultis Faw'!$D$2:$D$26,MATCH($C310,'Shultis Faw'!$A$2:$A$26,1)+1)-INDEX('Shultis Faw'!$D$2:$D$26,MATCH($C310,'Shultis Faw'!$A$2:$A$26,1)))/(INDEX('Shultis Faw'!$A$2:$A$26,MATCH($C310,'Shultis Faw'!$A$2:$A$26,1)+1)-INDEX('Shultis Faw'!$A$2:$A$26,MATCH($C310,'Shultis Faw'!$A$2:$A$26,1))),$C310*'Shultis Faw'!$D$2/'Shultis Faw'!$A$2)</f>
        <v>1.7838176000000001</v>
      </c>
      <c r="K310" s="83">
        <f>_xlfn.IFNA(INDEX('Shultis Faw'!$B$2:$B$26,MATCH($C310,'Shultis Faw'!$A$2:$A$26,1))+($C310-INDEX('Shultis Faw'!$A$2:$A$26,MATCH($C310,'Shultis Faw'!$A$2:$A$26,1)))*(INDEX('Shultis Faw'!$B$2:$B$26,MATCH($C310,'Shultis Faw'!$A$2:$A$26,1)+1)-INDEX('Shultis Faw'!$B$2:$B$26,MATCH($C310,'Shultis Faw'!$A$2:$A$26,1)))/(INDEX('Shultis Faw'!$A$2:$A$26,MATCH($C310,'Shultis Faw'!$A$2:$A$26,1)+1)-INDEX('Shultis Faw'!$A$2:$A$26,MATCH($C310,'Shultis Faw'!$A$2:$A$26,1))),$C310*'Shultis Faw'!$B$2/'Shultis Faw'!$A$2)</f>
        <v>-0.13715040000000001</v>
      </c>
      <c r="L310" s="83">
        <f>_xlfn.IFNA(INDEX('Shultis Faw'!$E$2:$E$26,MATCH($C310,'Shultis Faw'!$A$2:$A$26,1))+($C310-INDEX('Shultis Faw'!$A$2:$A$26,MATCH($C310,'Shultis Faw'!$A$2:$A$26,1)))*(INDEX('Shultis Faw'!$E$2:$E$26,MATCH($C310,'Shultis Faw'!$A$2:$A$26,1)+1)-INDEX('Shultis Faw'!$E$2:$E$26,MATCH($C310,'Shultis Faw'!$A$2:$A$26,1)))/(INDEX('Shultis Faw'!$A$2:$A$26,MATCH($C310,'Shultis Faw'!$A$2:$A$26,1)+1)-INDEX('Shultis Faw'!$A$2:$A$26,MATCH($C310,'Shultis Faw'!$A$2:$A$26,1))),$C310*'Shultis Faw'!$E$2/'Shultis Faw'!$A$2)</f>
        <v>5.5352640000000002E-2</v>
      </c>
      <c r="M310" s="83">
        <f>_xlfn.IFNA(INDEX('Shultis Faw'!$F$2:$F$26,MATCH($C310,'Shultis Faw'!$A$2:$A$26,1))+($C310-INDEX('Shultis Faw'!$A$2:$A$26,MATCH($C310,'Shultis Faw'!$A$2:$A$26,1)))*(INDEX('Shultis Faw'!$F$2:$F$26,MATCH($C310,'Shultis Faw'!$A$2:$A$26,1)+1)-INDEX('Shultis Faw'!$F$2:$F$26,MATCH($C310,'Shultis Faw'!$A$2:$A$26,1)))/(INDEX('Shultis Faw'!$A$2:$A$26,MATCH($C310,'Shultis Faw'!$A$2:$A$26,1)+1)-INDEX('Shultis Faw'!$A$2:$A$26,MATCH($C310,'Shultis Faw'!$A$2:$A$26,1))),$C310*'Shultis Faw'!$F$2/'Shultis Faw'!$A$2)</f>
        <v>14.316176</v>
      </c>
      <c r="N310" s="83">
        <f>J310*(H310*'Externe blootstelling'!$D$23/2)^K310+L310*(TANH(((H310*'Externe blootstelling'!$D$23)/(2*M310))-2)-TANH(-2))/(1-TANH(-2))</f>
        <v>1.6922524459639925</v>
      </c>
      <c r="O310" s="83">
        <f>IF(N310=1,1+(I310-1)*H310*'Externe blootstelling'!$D$23/2,1+(I310-1)*(N310^(H310*'Externe blootstelling'!$D$23/2)-1)/(N310-1))</f>
        <v>3.5696969813100203</v>
      </c>
      <c r="P310" s="67">
        <f>G310*EXP(-H310*'Externe blootstelling'!$D$23/2)*O310</f>
        <v>7.6761589135124195E-5</v>
      </c>
      <c r="Q310" s="68"/>
    </row>
    <row r="311" spans="1:17" x14ac:dyDescent="0.2">
      <c r="A311" s="217"/>
      <c r="B311" s="64" t="s">
        <v>104</v>
      </c>
      <c r="C311" s="66">
        <v>0.48825999999999997</v>
      </c>
      <c r="D311" s="66">
        <f t="shared" si="22"/>
        <v>7.8121600000000002E-14</v>
      </c>
      <c r="E311" s="66">
        <v>7.0000000000000007E-5</v>
      </c>
      <c r="F311" s="66">
        <f>_xlfn.IFNA(INDEX('hp (pSv cm2)'!$B$2:$B$52,MATCH($C311,'hp (pSv cm2)'!$A$2:$A$52,1))+($C311-INDEX('hp (pSv cm2)'!$A$2:$A$52,MATCH($C311,'hp (pSv cm2)'!$A$2:$A$52,1)))*(INDEX('hp (pSv cm2)'!$B$2:$B$52,MATCH($C311,'hp (pSv cm2)'!$A$2:$A$52,1)+1)-INDEX('hp (pSv cm2)'!$B$2:$B$52,MATCH($C311,'hp (pSv cm2)'!$A$2:$A$52,1)))/(INDEX('hp (pSv cm2)'!$A$2:$A$52,MATCH($C311,'hp (pSv cm2)'!$A$2:$A$52,1)+1)-INDEX('hp (pSv cm2)'!$A$2:$A$52,MATCH($C311,'hp (pSv cm2)'!$A$2:$A$52,1))),$C311*'hp (pSv cm2)'!$B$2/'hp (pSv cm2)'!$A$2)</f>
        <v>2.414822</v>
      </c>
      <c r="G311" s="67">
        <f t="shared" si="23"/>
        <v>1.6903754000000001E-4</v>
      </c>
      <c r="H311" s="83">
        <f>_xlfn.IFNA(0.997*(INDEX('Mass attenuation coefficients'!$B$2:$B$37,MATCH($C311,'Mass attenuation coefficients'!$A$2:$A$37,1))+($C311-INDEX('Mass attenuation coefficients'!$A$2:$A$37,MATCH($C311,'Mass attenuation coefficients'!$A$2:$A$37,1)))*(INDEX('Mass attenuation coefficients'!$B$2:$B$37,MATCH($C311,'Mass attenuation coefficients'!$A$2:$A$37,1)+1)-INDEX('Mass attenuation coefficients'!$B$2:$B$37,MATCH($C311,'Mass attenuation coefficients'!$A$2:$A$37,1)))/(INDEX('Mass attenuation coefficients'!$A$2:$A$37,MATCH($C311,'Mass attenuation coefficients'!$A$2:$A$37,1)+1)-INDEX('Mass attenuation coefficients'!$A$2:$A$37,MATCH($C311,'Mass attenuation coefficients'!$A$2:$A$37,1)))),0.997*$C311*'Mass attenuation coefficients'!$B$2/'Mass attenuation coefficients'!$A$2)</f>
        <v>9.7659741194000005E-2</v>
      </c>
      <c r="I311" s="83">
        <f>_xlfn.IFNA(INDEX('Shultis Faw'!$C$2:$C$26,MATCH($C311,'Shultis Faw'!$A$2:$A$26,1))+($C311-INDEX('Shultis Faw'!$A$2:$A$26,MATCH($C311,'Shultis Faw'!$A$2:$A$26,1)))*(INDEX('Shultis Faw'!$C$2:$C$26,MATCH($C311,'Shultis Faw'!$A$2:$A$26,1)+1)-INDEX('Shultis Faw'!$C$2:$C$26,MATCH($C311,'Shultis Faw'!$A$2:$A$26,1)))/(INDEX('Shultis Faw'!$A$2:$A$26,MATCH($C311,'Shultis Faw'!$A$2:$A$26,1)+1)-INDEX('Shultis Faw'!$A$2:$A$26,MATCH($C311,'Shultis Faw'!$A$2:$A$26,1))),$C311*'Shultis Faw'!$C$2/'Shultis Faw'!$A$2)</f>
        <v>2.5187840000000001</v>
      </c>
      <c r="J311" s="83">
        <f>_xlfn.IFNA(INDEX('Shultis Faw'!$D$2:$D$26,MATCH($C311,'Shultis Faw'!$A$2:$A$26,1))+($C311-INDEX('Shultis Faw'!$A$2:$A$26,MATCH($C311,'Shultis Faw'!$A$2:$A$26,1)))*(INDEX('Shultis Faw'!$D$2:$D$26,MATCH($C311,'Shultis Faw'!$A$2:$A$26,1)+1)-INDEX('Shultis Faw'!$D$2:$D$26,MATCH($C311,'Shultis Faw'!$A$2:$A$26,1)))/(INDEX('Shultis Faw'!$A$2:$A$26,MATCH($C311,'Shultis Faw'!$A$2:$A$26,1)+1)-INDEX('Shultis Faw'!$A$2:$A$26,MATCH($C311,'Shultis Faw'!$A$2:$A$26,1))),$C311*'Shultis Faw'!$D$2/'Shultis Faw'!$A$2)</f>
        <v>1.7796183999999999</v>
      </c>
      <c r="K311" s="83">
        <f>_xlfn.IFNA(INDEX('Shultis Faw'!$B$2:$B$26,MATCH($C311,'Shultis Faw'!$A$2:$A$26,1))+($C311-INDEX('Shultis Faw'!$A$2:$A$26,MATCH($C311,'Shultis Faw'!$A$2:$A$26,1)))*(INDEX('Shultis Faw'!$B$2:$B$26,MATCH($C311,'Shultis Faw'!$A$2:$A$26,1)+1)-INDEX('Shultis Faw'!$B$2:$B$26,MATCH($C311,'Shultis Faw'!$A$2:$A$26,1)))/(INDEX('Shultis Faw'!$A$2:$A$26,MATCH($C311,'Shultis Faw'!$A$2:$A$26,1)+1)-INDEX('Shultis Faw'!$A$2:$A$26,MATCH($C311,'Shultis Faw'!$A$2:$A$26,1))),$C311*'Shultis Faw'!$B$2/'Shultis Faw'!$A$2)</f>
        <v>-0.1366436</v>
      </c>
      <c r="L311" s="83">
        <f>_xlfn.IFNA(INDEX('Shultis Faw'!$E$2:$E$26,MATCH($C311,'Shultis Faw'!$A$2:$A$26,1))+($C311-INDEX('Shultis Faw'!$A$2:$A$26,MATCH($C311,'Shultis Faw'!$A$2:$A$26,1)))*(INDEX('Shultis Faw'!$E$2:$E$26,MATCH($C311,'Shultis Faw'!$A$2:$A$26,1)+1)-INDEX('Shultis Faw'!$E$2:$E$26,MATCH($C311,'Shultis Faw'!$A$2:$A$26,1)))/(INDEX('Shultis Faw'!$A$2:$A$26,MATCH($C311,'Shultis Faw'!$A$2:$A$26,1)+1)-INDEX('Shultis Faw'!$A$2:$A$26,MATCH($C311,'Shultis Faw'!$A$2:$A$26,1))),$C311*'Shultis Faw'!$E$2/'Shultis Faw'!$A$2)</f>
        <v>5.5175260000000004E-2</v>
      </c>
      <c r="M311" s="83">
        <f>_xlfn.IFNA(INDEX('Shultis Faw'!$F$2:$F$26,MATCH($C311,'Shultis Faw'!$A$2:$A$26,1))+($C311-INDEX('Shultis Faw'!$A$2:$A$26,MATCH($C311,'Shultis Faw'!$A$2:$A$26,1)))*(INDEX('Shultis Faw'!$F$2:$F$26,MATCH($C311,'Shultis Faw'!$A$2:$A$26,1)+1)-INDEX('Shultis Faw'!$F$2:$F$26,MATCH($C311,'Shultis Faw'!$A$2:$A$26,1)))/(INDEX('Shultis Faw'!$A$2:$A$26,MATCH($C311,'Shultis Faw'!$A$2:$A$26,1)+1)-INDEX('Shultis Faw'!$A$2:$A$26,MATCH($C311,'Shultis Faw'!$A$2:$A$26,1))),$C311*'Shultis Faw'!$F$2/'Shultis Faw'!$A$2)</f>
        <v>14.319433999999999</v>
      </c>
      <c r="N311" s="83">
        <f>J311*(H311*'Externe blootstelling'!$D$23/2)^K311+L311*(TANH(((H311*'Externe blootstelling'!$D$23)/(2*M311))-2)-TANH(-2))/(1-TANH(-2))</f>
        <v>1.6893830595651935</v>
      </c>
      <c r="O311" s="83">
        <f>IF(N311=1,1+(I311-1)*H311*'Externe blootstelling'!$D$23/2,1+(I311-1)*(N311^(H311*'Externe blootstelling'!$D$23/2)-1)/(N311-1))</f>
        <v>3.5462361831695874</v>
      </c>
      <c r="P311" s="67">
        <f>G311*EXP(-H311*'Externe blootstelling'!$D$23/2)*O311</f>
        <v>1.3853340854574862E-4</v>
      </c>
      <c r="Q311" s="68"/>
    </row>
    <row r="312" spans="1:17" x14ac:dyDescent="0.2">
      <c r="A312" s="217"/>
      <c r="B312" s="64" t="s">
        <v>104</v>
      </c>
      <c r="C312" s="66">
        <v>0.50639999999999996</v>
      </c>
      <c r="D312" s="66">
        <f t="shared" si="22"/>
        <v>8.1023999999999991E-14</v>
      </c>
      <c r="E312" s="66">
        <v>6.3E-5</v>
      </c>
      <c r="F312" s="66">
        <f>_xlfn.IFNA(INDEX('hp (pSv cm2)'!$B$2:$B$52,MATCH($C312,'hp (pSv cm2)'!$A$2:$A$52,1))+($C312-INDEX('hp (pSv cm2)'!$A$2:$A$52,MATCH($C312,'hp (pSv cm2)'!$A$2:$A$52,1)))*(INDEX('hp (pSv cm2)'!$B$2:$B$52,MATCH($C312,'hp (pSv cm2)'!$A$2:$A$52,1)+1)-INDEX('hp (pSv cm2)'!$B$2:$B$52,MATCH($C312,'hp (pSv cm2)'!$A$2:$A$52,1)))/(INDEX('hp (pSv cm2)'!$A$2:$A$52,MATCH($C312,'hp (pSv cm2)'!$A$2:$A$52,1)+1)-INDEX('hp (pSv cm2)'!$A$2:$A$52,MATCH($C312,'hp (pSv cm2)'!$A$2:$A$52,1))),$C312*'hp (pSv cm2)'!$B$2/'hp (pSv cm2)'!$A$2)</f>
        <v>2.4981599999999999</v>
      </c>
      <c r="G312" s="67">
        <f t="shared" si="23"/>
        <v>1.5738408E-4</v>
      </c>
      <c r="H312" s="83">
        <f>_xlfn.IFNA(0.997*(INDEX('Mass attenuation coefficients'!$B$2:$B$37,MATCH($C312,'Mass attenuation coefficients'!$A$2:$A$37,1))+($C312-INDEX('Mass attenuation coefficients'!$A$2:$A$37,MATCH($C312,'Mass attenuation coefficients'!$A$2:$A$37,1)))*(INDEX('Mass attenuation coefficients'!$B$2:$B$37,MATCH($C312,'Mass attenuation coefficients'!$A$2:$A$37,1)+1)-INDEX('Mass attenuation coefficients'!$B$2:$B$37,MATCH($C312,'Mass attenuation coefficients'!$A$2:$A$37,1)))/(INDEX('Mass attenuation coefficients'!$A$2:$A$37,MATCH($C312,'Mass attenuation coefficients'!$A$2:$A$37,1)+1)-INDEX('Mass attenuation coefficients'!$A$2:$A$37,MATCH($C312,'Mass attenuation coefficients'!$A$2:$A$37,1)))),0.997*$C312*'Mass attenuation coefficients'!$B$2/'Mass attenuation coefficients'!$A$2)</f>
        <v>9.6112953520000002E-2</v>
      </c>
      <c r="I312" s="83">
        <f>_xlfn.IFNA(INDEX('Shultis Faw'!$C$2:$C$26,MATCH($C312,'Shultis Faw'!$A$2:$A$26,1))+($C312-INDEX('Shultis Faw'!$A$2:$A$26,MATCH($C312,'Shultis Faw'!$A$2:$A$26,1)))*(INDEX('Shultis Faw'!$C$2:$C$26,MATCH($C312,'Shultis Faw'!$A$2:$A$26,1)+1)-INDEX('Shultis Faw'!$C$2:$C$26,MATCH($C312,'Shultis Faw'!$A$2:$A$26,1)))/(INDEX('Shultis Faw'!$A$2:$A$26,MATCH($C312,'Shultis Faw'!$A$2:$A$26,1)+1)-INDEX('Shultis Faw'!$A$2:$A$26,MATCH($C312,'Shultis Faw'!$A$2:$A$26,1))),$C312*'Shultis Faw'!$C$2/'Shultis Faw'!$A$2)</f>
        <v>2.4921280000000001</v>
      </c>
      <c r="J312" s="83">
        <f>_xlfn.IFNA(INDEX('Shultis Faw'!$D$2:$D$26,MATCH($C312,'Shultis Faw'!$A$2:$A$26,1))+($C312-INDEX('Shultis Faw'!$A$2:$A$26,MATCH($C312,'Shultis Faw'!$A$2:$A$26,1)))*(INDEX('Shultis Faw'!$D$2:$D$26,MATCH($C312,'Shultis Faw'!$A$2:$A$26,1)+1)-INDEX('Shultis Faw'!$D$2:$D$26,MATCH($C312,'Shultis Faw'!$A$2:$A$26,1)))/(INDEX('Shultis Faw'!$A$2:$A$26,MATCH($C312,'Shultis Faw'!$A$2:$A$26,1)+1)-INDEX('Shultis Faw'!$A$2:$A$26,MATCH($C312,'Shultis Faw'!$A$2:$A$26,1))),$C312*'Shultis Faw'!$D$2/'Shultis Faw'!$A$2)</f>
        <v>1.760432</v>
      </c>
      <c r="K312" s="83">
        <f>_xlfn.IFNA(INDEX('Shultis Faw'!$B$2:$B$26,MATCH($C312,'Shultis Faw'!$A$2:$A$26,1))+($C312-INDEX('Shultis Faw'!$A$2:$A$26,MATCH($C312,'Shultis Faw'!$A$2:$A$26,1)))*(INDEX('Shultis Faw'!$B$2:$B$26,MATCH($C312,'Shultis Faw'!$A$2:$A$26,1)+1)-INDEX('Shultis Faw'!$B$2:$B$26,MATCH($C312,'Shultis Faw'!$A$2:$A$26,1)))/(INDEX('Shultis Faw'!$A$2:$A$26,MATCH($C312,'Shultis Faw'!$A$2:$A$26,1)+1)-INDEX('Shultis Faw'!$A$2:$A$26,MATCH($C312,'Shultis Faw'!$A$2:$A$26,1))),$C312*'Shultis Faw'!$B$2/'Shultis Faw'!$A$2)</f>
        <v>-0.134296</v>
      </c>
      <c r="L312" s="83">
        <f>_xlfn.IFNA(INDEX('Shultis Faw'!$E$2:$E$26,MATCH($C312,'Shultis Faw'!$A$2:$A$26,1))+($C312-INDEX('Shultis Faw'!$A$2:$A$26,MATCH($C312,'Shultis Faw'!$A$2:$A$26,1)))*(INDEX('Shultis Faw'!$E$2:$E$26,MATCH($C312,'Shultis Faw'!$A$2:$A$26,1)+1)-INDEX('Shultis Faw'!$E$2:$E$26,MATCH($C312,'Shultis Faw'!$A$2:$A$26,1)))/(INDEX('Shultis Faw'!$A$2:$A$26,MATCH($C312,'Shultis Faw'!$A$2:$A$26,1)+1)-INDEX('Shultis Faw'!$A$2:$A$26,MATCH($C312,'Shultis Faw'!$A$2:$A$26,1))),$C312*'Shultis Faw'!$E$2/'Shultis Faw'!$A$2)</f>
        <v>5.4324800000000006E-2</v>
      </c>
      <c r="M312" s="83">
        <f>_xlfn.IFNA(INDEX('Shultis Faw'!$F$2:$F$26,MATCH($C312,'Shultis Faw'!$A$2:$A$26,1))+($C312-INDEX('Shultis Faw'!$A$2:$A$26,MATCH($C312,'Shultis Faw'!$A$2:$A$26,1)))*(INDEX('Shultis Faw'!$F$2:$F$26,MATCH($C312,'Shultis Faw'!$A$2:$A$26,1)+1)-INDEX('Shultis Faw'!$F$2:$F$26,MATCH($C312,'Shultis Faw'!$A$2:$A$26,1)))/(INDEX('Shultis Faw'!$A$2:$A$26,MATCH($C312,'Shultis Faw'!$A$2:$A$26,1)+1)-INDEX('Shultis Faw'!$A$2:$A$26,MATCH($C312,'Shultis Faw'!$A$2:$A$26,1))),$C312*'Shultis Faw'!$F$2/'Shultis Faw'!$A$2)</f>
        <v>14.323600000000001</v>
      </c>
      <c r="N312" s="83">
        <f>J312*(H312*'Externe blootstelling'!$D$23/2)^K312+L312*(TANH(((H312*'Externe blootstelling'!$D$23)/(2*M312))-2)-TANH(-2))/(1-TANH(-2))</f>
        <v>1.676252549909071</v>
      </c>
      <c r="O312" s="83">
        <f>IF(N312=1,1+(I312-1)*H312*'Externe blootstelling'!$D$23/2,1+(I312-1)*(N312^(H312*'Externe blootstelling'!$D$23/2)-1)/(N312-1))</f>
        <v>3.4400357949761062</v>
      </c>
      <c r="P312" s="67">
        <f>G312*EXP(-H312*'Externe blootstelling'!$D$23/2)*O312</f>
        <v>1.2805716442974567E-4</v>
      </c>
      <c r="Q312" s="68"/>
    </row>
    <row r="313" spans="1:17" x14ac:dyDescent="0.2">
      <c r="A313" s="217"/>
      <c r="B313" s="64" t="s">
        <v>104</v>
      </c>
      <c r="C313" s="66">
        <v>0.51</v>
      </c>
      <c r="D313" s="66">
        <f t="shared" si="22"/>
        <v>8.1600000000000001E-14</v>
      </c>
      <c r="E313" s="66">
        <v>5.8999999999999992E-4</v>
      </c>
      <c r="F313" s="66">
        <f>_xlfn.IFNA(INDEX('hp (pSv cm2)'!$B$2:$B$52,MATCH($C313,'hp (pSv cm2)'!$A$2:$A$52,1))+($C313-INDEX('hp (pSv cm2)'!$A$2:$A$52,MATCH($C313,'hp (pSv cm2)'!$A$2:$A$52,1)))*(INDEX('hp (pSv cm2)'!$B$2:$B$52,MATCH($C313,'hp (pSv cm2)'!$A$2:$A$52,1)+1)-INDEX('hp (pSv cm2)'!$B$2:$B$52,MATCH($C313,'hp (pSv cm2)'!$A$2:$A$52,1)))/(INDEX('hp (pSv cm2)'!$A$2:$A$52,MATCH($C313,'hp (pSv cm2)'!$A$2:$A$52,1)+1)-INDEX('hp (pSv cm2)'!$A$2:$A$52,MATCH($C313,'hp (pSv cm2)'!$A$2:$A$52,1))),$C313*'hp (pSv cm2)'!$B$2/'hp (pSv cm2)'!$A$2)</f>
        <v>2.5140000000000002</v>
      </c>
      <c r="G313" s="67">
        <f t="shared" si="23"/>
        <v>1.4832599999999999E-3</v>
      </c>
      <c r="H313" s="83">
        <f>_xlfn.IFNA(0.997*(INDEX('Mass attenuation coefficients'!$B$2:$B$37,MATCH($C313,'Mass attenuation coefficients'!$A$2:$A$37,1))+($C313-INDEX('Mass attenuation coefficients'!$A$2:$A$37,MATCH($C313,'Mass attenuation coefficients'!$A$2:$A$37,1)))*(INDEX('Mass attenuation coefficients'!$B$2:$B$37,MATCH($C313,'Mass attenuation coefficients'!$A$2:$A$37,1)+1)-INDEX('Mass attenuation coefficients'!$B$2:$B$37,MATCH($C313,'Mass attenuation coefficients'!$A$2:$A$37,1)))/(INDEX('Mass attenuation coefficients'!$A$2:$A$37,MATCH($C313,'Mass attenuation coefficients'!$A$2:$A$37,1)+1)-INDEX('Mass attenuation coefficients'!$A$2:$A$37,MATCH($C313,'Mass attenuation coefficients'!$A$2:$A$37,1)))),0.997*$C313*'Mass attenuation coefficients'!$B$2/'Mass attenuation coefficients'!$A$2)</f>
        <v>9.5850583000000003E-2</v>
      </c>
      <c r="I313" s="83">
        <f>_xlfn.IFNA(INDEX('Shultis Faw'!$C$2:$C$26,MATCH($C313,'Shultis Faw'!$A$2:$A$26,1))+($C313-INDEX('Shultis Faw'!$A$2:$A$26,MATCH($C313,'Shultis Faw'!$A$2:$A$26,1)))*(INDEX('Shultis Faw'!$C$2:$C$26,MATCH($C313,'Shultis Faw'!$A$2:$A$26,1)+1)-INDEX('Shultis Faw'!$C$2:$C$26,MATCH($C313,'Shultis Faw'!$A$2:$A$26,1)))/(INDEX('Shultis Faw'!$A$2:$A$26,MATCH($C313,'Shultis Faw'!$A$2:$A$26,1)+1)-INDEX('Shultis Faw'!$A$2:$A$26,MATCH($C313,'Shultis Faw'!$A$2:$A$26,1))),$C313*'Shultis Faw'!$C$2/'Shultis Faw'!$A$2)</f>
        <v>2.4876999999999998</v>
      </c>
      <c r="J313" s="83">
        <f>_xlfn.IFNA(INDEX('Shultis Faw'!$D$2:$D$26,MATCH($C313,'Shultis Faw'!$A$2:$A$26,1))+($C313-INDEX('Shultis Faw'!$A$2:$A$26,MATCH($C313,'Shultis Faw'!$A$2:$A$26,1)))*(INDEX('Shultis Faw'!$D$2:$D$26,MATCH($C313,'Shultis Faw'!$A$2:$A$26,1)+1)-INDEX('Shultis Faw'!$D$2:$D$26,MATCH($C313,'Shultis Faw'!$A$2:$A$26,1)))/(INDEX('Shultis Faw'!$A$2:$A$26,MATCH($C313,'Shultis Faw'!$A$2:$A$26,1)+1)-INDEX('Shultis Faw'!$A$2:$A$26,MATCH($C313,'Shultis Faw'!$A$2:$A$26,1))),$C313*'Shultis Faw'!$D$2/'Shultis Faw'!$A$2)</f>
        <v>1.7573000000000001</v>
      </c>
      <c r="K313" s="83">
        <f>_xlfn.IFNA(INDEX('Shultis Faw'!$B$2:$B$26,MATCH($C313,'Shultis Faw'!$A$2:$A$26,1))+($C313-INDEX('Shultis Faw'!$A$2:$A$26,MATCH($C313,'Shultis Faw'!$A$2:$A$26,1)))*(INDEX('Shultis Faw'!$B$2:$B$26,MATCH($C313,'Shultis Faw'!$A$2:$A$26,1)+1)-INDEX('Shultis Faw'!$B$2:$B$26,MATCH($C313,'Shultis Faw'!$A$2:$A$26,1)))/(INDEX('Shultis Faw'!$A$2:$A$26,MATCH($C313,'Shultis Faw'!$A$2:$A$26,1)+1)-INDEX('Shultis Faw'!$A$2:$A$26,MATCH($C313,'Shultis Faw'!$A$2:$A$26,1))),$C313*'Shultis Faw'!$B$2/'Shultis Faw'!$A$2)</f>
        <v>-0.13390000000000002</v>
      </c>
      <c r="L313" s="83">
        <f>_xlfn.IFNA(INDEX('Shultis Faw'!$E$2:$E$26,MATCH($C313,'Shultis Faw'!$A$2:$A$26,1))+($C313-INDEX('Shultis Faw'!$A$2:$A$26,MATCH($C313,'Shultis Faw'!$A$2:$A$26,1)))*(INDEX('Shultis Faw'!$E$2:$E$26,MATCH($C313,'Shultis Faw'!$A$2:$A$26,1)+1)-INDEX('Shultis Faw'!$E$2:$E$26,MATCH($C313,'Shultis Faw'!$A$2:$A$26,1)))/(INDEX('Shultis Faw'!$A$2:$A$26,MATCH($C313,'Shultis Faw'!$A$2:$A$26,1)+1)-INDEX('Shultis Faw'!$A$2:$A$26,MATCH($C313,'Shultis Faw'!$A$2:$A$26,1))),$C313*'Shultis Faw'!$E$2/'Shultis Faw'!$A$2)</f>
        <v>5.4170000000000003E-2</v>
      </c>
      <c r="M313" s="83">
        <f>_xlfn.IFNA(INDEX('Shultis Faw'!$F$2:$F$26,MATCH($C313,'Shultis Faw'!$A$2:$A$26,1))+($C313-INDEX('Shultis Faw'!$A$2:$A$26,MATCH($C313,'Shultis Faw'!$A$2:$A$26,1)))*(INDEX('Shultis Faw'!$F$2:$F$26,MATCH($C313,'Shultis Faw'!$A$2:$A$26,1)+1)-INDEX('Shultis Faw'!$F$2:$F$26,MATCH($C313,'Shultis Faw'!$A$2:$A$26,1)))/(INDEX('Shultis Faw'!$A$2:$A$26,MATCH($C313,'Shultis Faw'!$A$2:$A$26,1)+1)-INDEX('Shultis Faw'!$A$2:$A$26,MATCH($C313,'Shultis Faw'!$A$2:$A$26,1))),$C313*'Shultis Faw'!$F$2/'Shultis Faw'!$A$2)</f>
        <v>14.32</v>
      </c>
      <c r="N313" s="83">
        <f>J313*(H313*'Externe blootstelling'!$D$23/2)^K313+L313*(TANH(((H313*'Externe blootstelling'!$D$23)/(2*M313))-2)-TANH(-2))/(1-TANH(-2))</f>
        <v>1.6741244507878512</v>
      </c>
      <c r="O313" s="83">
        <f>IF(N313=1,1+(I313-1)*H313*'Externe blootstelling'!$D$23/2,1+(I313-1)*(N313^(H313*'Externe blootstelling'!$D$23/2)-1)/(N313-1))</f>
        <v>3.4225732253435317</v>
      </c>
      <c r="P313" s="67">
        <f>G313*EXP(-H313*'Externe blootstelling'!$D$23/2)*O313</f>
        <v>1.2054781537382076E-3</v>
      </c>
      <c r="Q313" s="68"/>
    </row>
    <row r="314" spans="1:17" x14ac:dyDescent="0.2">
      <c r="A314" s="217"/>
      <c r="B314" s="64" t="s">
        <v>104</v>
      </c>
      <c r="C314" s="66">
        <v>0.51200000000000001</v>
      </c>
      <c r="D314" s="66">
        <f t="shared" si="22"/>
        <v>8.1919999999999993E-14</v>
      </c>
      <c r="E314" s="66">
        <v>3.2000000000000003E-4</v>
      </c>
      <c r="F314" s="66">
        <f>_xlfn.IFNA(INDEX('hp (pSv cm2)'!$B$2:$B$52,MATCH($C314,'hp (pSv cm2)'!$A$2:$A$52,1))+($C314-INDEX('hp (pSv cm2)'!$A$2:$A$52,MATCH($C314,'hp (pSv cm2)'!$A$2:$A$52,1)))*(INDEX('hp (pSv cm2)'!$B$2:$B$52,MATCH($C314,'hp (pSv cm2)'!$A$2:$A$52,1)+1)-INDEX('hp (pSv cm2)'!$B$2:$B$52,MATCH($C314,'hp (pSv cm2)'!$A$2:$A$52,1)))/(INDEX('hp (pSv cm2)'!$A$2:$A$52,MATCH($C314,'hp (pSv cm2)'!$A$2:$A$52,1)+1)-INDEX('hp (pSv cm2)'!$A$2:$A$52,MATCH($C314,'hp (pSv cm2)'!$A$2:$A$52,1))),$C314*'hp (pSv cm2)'!$B$2/'hp (pSv cm2)'!$A$2)</f>
        <v>2.5228000000000002</v>
      </c>
      <c r="G314" s="67">
        <f t="shared" si="23"/>
        <v>8.072960000000001E-4</v>
      </c>
      <c r="H314" s="83">
        <f>_xlfn.IFNA(0.997*(INDEX('Mass attenuation coefficients'!$B$2:$B$37,MATCH($C314,'Mass attenuation coefficients'!$A$2:$A$37,1))+($C314-INDEX('Mass attenuation coefficients'!$A$2:$A$37,MATCH($C314,'Mass attenuation coefficients'!$A$2:$A$37,1)))*(INDEX('Mass attenuation coefficients'!$B$2:$B$37,MATCH($C314,'Mass attenuation coefficients'!$A$2:$A$37,1)+1)-INDEX('Mass attenuation coefficients'!$B$2:$B$37,MATCH($C314,'Mass attenuation coefficients'!$A$2:$A$37,1)))/(INDEX('Mass attenuation coefficients'!$A$2:$A$37,MATCH($C314,'Mass attenuation coefficients'!$A$2:$A$37,1)+1)-INDEX('Mass attenuation coefficients'!$A$2:$A$37,MATCH($C314,'Mass attenuation coefficients'!$A$2:$A$37,1)))),0.997*$C314*'Mass attenuation coefficients'!$B$2/'Mass attenuation coefficients'!$A$2)</f>
        <v>9.5704821600000003E-2</v>
      </c>
      <c r="I314" s="83">
        <f>_xlfn.IFNA(INDEX('Shultis Faw'!$C$2:$C$26,MATCH($C314,'Shultis Faw'!$A$2:$A$26,1))+($C314-INDEX('Shultis Faw'!$A$2:$A$26,MATCH($C314,'Shultis Faw'!$A$2:$A$26,1)))*(INDEX('Shultis Faw'!$C$2:$C$26,MATCH($C314,'Shultis Faw'!$A$2:$A$26,1)+1)-INDEX('Shultis Faw'!$C$2:$C$26,MATCH($C314,'Shultis Faw'!$A$2:$A$26,1)))/(INDEX('Shultis Faw'!$A$2:$A$26,MATCH($C314,'Shultis Faw'!$A$2:$A$26,1)+1)-INDEX('Shultis Faw'!$A$2:$A$26,MATCH($C314,'Shultis Faw'!$A$2:$A$26,1))),$C314*'Shultis Faw'!$C$2/'Shultis Faw'!$A$2)</f>
        <v>2.4852400000000001</v>
      </c>
      <c r="J314" s="83">
        <f>_xlfn.IFNA(INDEX('Shultis Faw'!$D$2:$D$26,MATCH($C314,'Shultis Faw'!$A$2:$A$26,1))+($C314-INDEX('Shultis Faw'!$A$2:$A$26,MATCH($C314,'Shultis Faw'!$A$2:$A$26,1)))*(INDEX('Shultis Faw'!$D$2:$D$26,MATCH($C314,'Shultis Faw'!$A$2:$A$26,1)+1)-INDEX('Shultis Faw'!$D$2:$D$26,MATCH($C314,'Shultis Faw'!$A$2:$A$26,1)))/(INDEX('Shultis Faw'!$A$2:$A$26,MATCH($C314,'Shultis Faw'!$A$2:$A$26,1)+1)-INDEX('Shultis Faw'!$A$2:$A$26,MATCH($C314,'Shultis Faw'!$A$2:$A$26,1))),$C314*'Shultis Faw'!$D$2/'Shultis Faw'!$A$2)</f>
        <v>1.75556</v>
      </c>
      <c r="K314" s="83">
        <f>_xlfn.IFNA(INDEX('Shultis Faw'!$B$2:$B$26,MATCH($C314,'Shultis Faw'!$A$2:$A$26,1))+($C314-INDEX('Shultis Faw'!$A$2:$A$26,MATCH($C314,'Shultis Faw'!$A$2:$A$26,1)))*(INDEX('Shultis Faw'!$B$2:$B$26,MATCH($C314,'Shultis Faw'!$A$2:$A$26,1)+1)-INDEX('Shultis Faw'!$B$2:$B$26,MATCH($C314,'Shultis Faw'!$A$2:$A$26,1)))/(INDEX('Shultis Faw'!$A$2:$A$26,MATCH($C314,'Shultis Faw'!$A$2:$A$26,1)+1)-INDEX('Shultis Faw'!$A$2:$A$26,MATCH($C314,'Shultis Faw'!$A$2:$A$26,1))),$C314*'Shultis Faw'!$B$2/'Shultis Faw'!$A$2)</f>
        <v>-0.13367999999999999</v>
      </c>
      <c r="L314" s="83">
        <f>_xlfn.IFNA(INDEX('Shultis Faw'!$E$2:$E$26,MATCH($C314,'Shultis Faw'!$A$2:$A$26,1))+($C314-INDEX('Shultis Faw'!$A$2:$A$26,MATCH($C314,'Shultis Faw'!$A$2:$A$26,1)))*(INDEX('Shultis Faw'!$E$2:$E$26,MATCH($C314,'Shultis Faw'!$A$2:$A$26,1)+1)-INDEX('Shultis Faw'!$E$2:$E$26,MATCH($C314,'Shultis Faw'!$A$2:$A$26,1)))/(INDEX('Shultis Faw'!$A$2:$A$26,MATCH($C314,'Shultis Faw'!$A$2:$A$26,1)+1)-INDEX('Shultis Faw'!$A$2:$A$26,MATCH($C314,'Shultis Faw'!$A$2:$A$26,1))),$C314*'Shultis Faw'!$E$2/'Shultis Faw'!$A$2)</f>
        <v>5.4084E-2</v>
      </c>
      <c r="M314" s="83">
        <f>_xlfn.IFNA(INDEX('Shultis Faw'!$F$2:$F$26,MATCH($C314,'Shultis Faw'!$A$2:$A$26,1))+($C314-INDEX('Shultis Faw'!$A$2:$A$26,MATCH($C314,'Shultis Faw'!$A$2:$A$26,1)))*(INDEX('Shultis Faw'!$F$2:$F$26,MATCH($C314,'Shultis Faw'!$A$2:$A$26,1)+1)-INDEX('Shultis Faw'!$F$2:$F$26,MATCH($C314,'Shultis Faw'!$A$2:$A$26,1)))/(INDEX('Shultis Faw'!$A$2:$A$26,MATCH($C314,'Shultis Faw'!$A$2:$A$26,1)+1)-INDEX('Shultis Faw'!$A$2:$A$26,MATCH($C314,'Shultis Faw'!$A$2:$A$26,1))),$C314*'Shultis Faw'!$F$2/'Shultis Faw'!$A$2)</f>
        <v>14.318</v>
      </c>
      <c r="N314" s="83">
        <f>J314*(H314*'Externe blootstelling'!$D$23/2)^K314+L314*(TANH(((H314*'Externe blootstelling'!$D$23)/(2*M314))-2)-TANH(-2))/(1-TANH(-2))</f>
        <v>1.6729402052603881</v>
      </c>
      <c r="O314" s="83">
        <f>IF(N314=1,1+(I314-1)*H314*'Externe blootstelling'!$D$23/2,1+(I314-1)*(N314^(H314*'Externe blootstelling'!$D$23/2)-1)/(N314-1))</f>
        <v>3.4129146037520837</v>
      </c>
      <c r="P314" s="67">
        <f>G314*EXP(-H314*'Externe blootstelling'!$D$23/2)*O314</f>
        <v>6.5568777069770158E-4</v>
      </c>
      <c r="Q314" s="68"/>
    </row>
    <row r="315" spans="1:17" x14ac:dyDescent="0.2">
      <c r="A315" s="217"/>
      <c r="B315" s="64" t="s">
        <v>104</v>
      </c>
      <c r="C315" s="66">
        <v>0.51800000000000002</v>
      </c>
      <c r="D315" s="66">
        <f t="shared" si="22"/>
        <v>8.2879999999999996E-14</v>
      </c>
      <c r="E315" s="66">
        <v>4.6999999999999999E-4</v>
      </c>
      <c r="F315" s="66">
        <f>_xlfn.IFNA(INDEX('hp (pSv cm2)'!$B$2:$B$52,MATCH($C315,'hp (pSv cm2)'!$A$2:$A$52,1))+($C315-INDEX('hp (pSv cm2)'!$A$2:$A$52,MATCH($C315,'hp (pSv cm2)'!$A$2:$A$52,1)))*(INDEX('hp (pSv cm2)'!$B$2:$B$52,MATCH($C315,'hp (pSv cm2)'!$A$2:$A$52,1)+1)-INDEX('hp (pSv cm2)'!$B$2:$B$52,MATCH($C315,'hp (pSv cm2)'!$A$2:$A$52,1)))/(INDEX('hp (pSv cm2)'!$A$2:$A$52,MATCH($C315,'hp (pSv cm2)'!$A$2:$A$52,1)+1)-INDEX('hp (pSv cm2)'!$A$2:$A$52,MATCH($C315,'hp (pSv cm2)'!$A$2:$A$52,1))),$C315*'hp (pSv cm2)'!$B$2/'hp (pSv cm2)'!$A$2)</f>
        <v>2.5492000000000004</v>
      </c>
      <c r="G315" s="67">
        <f t="shared" si="23"/>
        <v>1.1981240000000001E-3</v>
      </c>
      <c r="H315" s="83">
        <f>_xlfn.IFNA(0.997*(INDEX('Mass attenuation coefficients'!$B$2:$B$37,MATCH($C315,'Mass attenuation coefficients'!$A$2:$A$37,1))+($C315-INDEX('Mass attenuation coefficients'!$A$2:$A$37,MATCH($C315,'Mass attenuation coefficients'!$A$2:$A$37,1)))*(INDEX('Mass attenuation coefficients'!$B$2:$B$37,MATCH($C315,'Mass attenuation coefficients'!$A$2:$A$37,1)+1)-INDEX('Mass attenuation coefficients'!$B$2:$B$37,MATCH($C315,'Mass attenuation coefficients'!$A$2:$A$37,1)))/(INDEX('Mass attenuation coefficients'!$A$2:$A$37,MATCH($C315,'Mass attenuation coefficients'!$A$2:$A$37,1)+1)-INDEX('Mass attenuation coefficients'!$A$2:$A$37,MATCH($C315,'Mass attenuation coefficients'!$A$2:$A$37,1)))),0.997*$C315*'Mass attenuation coefficients'!$B$2/'Mass attenuation coefficients'!$A$2)</f>
        <v>9.5267537399999991E-2</v>
      </c>
      <c r="I315" s="83">
        <f>_xlfn.IFNA(INDEX('Shultis Faw'!$C$2:$C$26,MATCH($C315,'Shultis Faw'!$A$2:$A$26,1))+($C315-INDEX('Shultis Faw'!$A$2:$A$26,MATCH($C315,'Shultis Faw'!$A$2:$A$26,1)))*(INDEX('Shultis Faw'!$C$2:$C$26,MATCH($C315,'Shultis Faw'!$A$2:$A$26,1)+1)-INDEX('Shultis Faw'!$C$2:$C$26,MATCH($C315,'Shultis Faw'!$A$2:$A$26,1)))/(INDEX('Shultis Faw'!$A$2:$A$26,MATCH($C315,'Shultis Faw'!$A$2:$A$26,1)+1)-INDEX('Shultis Faw'!$A$2:$A$26,MATCH($C315,'Shultis Faw'!$A$2:$A$26,1))),$C315*'Shultis Faw'!$C$2/'Shultis Faw'!$A$2)</f>
        <v>2.4778599999999997</v>
      </c>
      <c r="J315" s="83">
        <f>_xlfn.IFNA(INDEX('Shultis Faw'!$D$2:$D$26,MATCH($C315,'Shultis Faw'!$A$2:$A$26,1))+($C315-INDEX('Shultis Faw'!$A$2:$A$26,MATCH($C315,'Shultis Faw'!$A$2:$A$26,1)))*(INDEX('Shultis Faw'!$D$2:$D$26,MATCH($C315,'Shultis Faw'!$A$2:$A$26,1)+1)-INDEX('Shultis Faw'!$D$2:$D$26,MATCH($C315,'Shultis Faw'!$A$2:$A$26,1)))/(INDEX('Shultis Faw'!$A$2:$A$26,MATCH($C315,'Shultis Faw'!$A$2:$A$26,1)+1)-INDEX('Shultis Faw'!$A$2:$A$26,MATCH($C315,'Shultis Faw'!$A$2:$A$26,1))),$C315*'Shultis Faw'!$D$2/'Shultis Faw'!$A$2)</f>
        <v>1.75034</v>
      </c>
      <c r="K315" s="83">
        <f>_xlfn.IFNA(INDEX('Shultis Faw'!$B$2:$B$26,MATCH($C315,'Shultis Faw'!$A$2:$A$26,1))+($C315-INDEX('Shultis Faw'!$A$2:$A$26,MATCH($C315,'Shultis Faw'!$A$2:$A$26,1)))*(INDEX('Shultis Faw'!$B$2:$B$26,MATCH($C315,'Shultis Faw'!$A$2:$A$26,1)+1)-INDEX('Shultis Faw'!$B$2:$B$26,MATCH($C315,'Shultis Faw'!$A$2:$A$26,1)))/(INDEX('Shultis Faw'!$A$2:$A$26,MATCH($C315,'Shultis Faw'!$A$2:$A$26,1)+1)-INDEX('Shultis Faw'!$A$2:$A$26,MATCH($C315,'Shultis Faw'!$A$2:$A$26,1))),$C315*'Shultis Faw'!$B$2/'Shultis Faw'!$A$2)</f>
        <v>-0.13302</v>
      </c>
      <c r="L315" s="83">
        <f>_xlfn.IFNA(INDEX('Shultis Faw'!$E$2:$E$26,MATCH($C315,'Shultis Faw'!$A$2:$A$26,1))+($C315-INDEX('Shultis Faw'!$A$2:$A$26,MATCH($C315,'Shultis Faw'!$A$2:$A$26,1)))*(INDEX('Shultis Faw'!$E$2:$E$26,MATCH($C315,'Shultis Faw'!$A$2:$A$26,1)+1)-INDEX('Shultis Faw'!$E$2:$E$26,MATCH($C315,'Shultis Faw'!$A$2:$A$26,1)))/(INDEX('Shultis Faw'!$A$2:$A$26,MATCH($C315,'Shultis Faw'!$A$2:$A$26,1)+1)-INDEX('Shultis Faw'!$A$2:$A$26,MATCH($C315,'Shultis Faw'!$A$2:$A$26,1))),$C315*'Shultis Faw'!$E$2/'Shultis Faw'!$A$2)</f>
        <v>5.3825999999999999E-2</v>
      </c>
      <c r="M315" s="83">
        <f>_xlfn.IFNA(INDEX('Shultis Faw'!$F$2:$F$26,MATCH($C315,'Shultis Faw'!$A$2:$A$26,1))+($C315-INDEX('Shultis Faw'!$A$2:$A$26,MATCH($C315,'Shultis Faw'!$A$2:$A$26,1)))*(INDEX('Shultis Faw'!$F$2:$F$26,MATCH($C315,'Shultis Faw'!$A$2:$A$26,1)+1)-INDEX('Shultis Faw'!$F$2:$F$26,MATCH($C315,'Shultis Faw'!$A$2:$A$26,1)))/(INDEX('Shultis Faw'!$A$2:$A$26,MATCH($C315,'Shultis Faw'!$A$2:$A$26,1)+1)-INDEX('Shultis Faw'!$A$2:$A$26,MATCH($C315,'Shultis Faw'!$A$2:$A$26,1))),$C315*'Shultis Faw'!$F$2/'Shultis Faw'!$A$2)</f>
        <v>14.311999999999999</v>
      </c>
      <c r="N315" s="83">
        <f>J315*(H315*'Externe blootstelling'!$D$23/2)^K315+L315*(TANH(((H315*'Externe blootstelling'!$D$23)/(2*M315))-2)-TANH(-2))/(1-TANH(-2))</f>
        <v>1.6693790326440876</v>
      </c>
      <c r="O315" s="83">
        <f>IF(N315=1,1+(I315-1)*H315*'Externe blootstelling'!$D$23/2,1+(I315-1)*(N315^(H315*'Externe blootstelling'!$D$23/2)-1)/(N315-1))</f>
        <v>3.384121174536344</v>
      </c>
      <c r="P315" s="67">
        <f>G315*EXP(-H315*'Externe blootstelling'!$D$23/2)*O315</f>
        <v>9.7125929069292289E-4</v>
      </c>
      <c r="Q315" s="68"/>
    </row>
    <row r="316" spans="1:17" x14ac:dyDescent="0.2">
      <c r="A316" s="217"/>
      <c r="B316" s="64" t="s">
        <v>104</v>
      </c>
      <c r="C316" s="66">
        <v>0.53310000000000002</v>
      </c>
      <c r="D316" s="66">
        <f t="shared" si="22"/>
        <v>8.5296000000000001E-14</v>
      </c>
      <c r="E316" s="66">
        <v>4.0000000000000003E-5</v>
      </c>
      <c r="F316" s="66">
        <f>_xlfn.IFNA(INDEX('hp (pSv cm2)'!$B$2:$B$52,MATCH($C316,'hp (pSv cm2)'!$A$2:$A$52,1))+($C316-INDEX('hp (pSv cm2)'!$A$2:$A$52,MATCH($C316,'hp (pSv cm2)'!$A$2:$A$52,1)))*(INDEX('hp (pSv cm2)'!$B$2:$B$52,MATCH($C316,'hp (pSv cm2)'!$A$2:$A$52,1)+1)-INDEX('hp (pSv cm2)'!$B$2:$B$52,MATCH($C316,'hp (pSv cm2)'!$A$2:$A$52,1)))/(INDEX('hp (pSv cm2)'!$A$2:$A$52,MATCH($C316,'hp (pSv cm2)'!$A$2:$A$52,1)+1)-INDEX('hp (pSv cm2)'!$A$2:$A$52,MATCH($C316,'hp (pSv cm2)'!$A$2:$A$52,1))),$C316*'hp (pSv cm2)'!$B$2/'hp (pSv cm2)'!$A$2)</f>
        <v>2.6156400000000004</v>
      </c>
      <c r="G316" s="67">
        <f t="shared" si="23"/>
        <v>1.0462560000000002E-4</v>
      </c>
      <c r="H316" s="83">
        <f>_xlfn.IFNA(0.997*(INDEX('Mass attenuation coefficients'!$B$2:$B$37,MATCH($C316,'Mass attenuation coefficients'!$A$2:$A$37,1))+($C316-INDEX('Mass attenuation coefficients'!$A$2:$A$37,MATCH($C316,'Mass attenuation coefficients'!$A$2:$A$37,1)))*(INDEX('Mass attenuation coefficients'!$B$2:$B$37,MATCH($C316,'Mass attenuation coefficients'!$A$2:$A$37,1)+1)-INDEX('Mass attenuation coefficients'!$B$2:$B$37,MATCH($C316,'Mass attenuation coefficients'!$A$2:$A$37,1)))/(INDEX('Mass attenuation coefficients'!$A$2:$A$37,MATCH($C316,'Mass attenuation coefficients'!$A$2:$A$37,1)+1)-INDEX('Mass attenuation coefficients'!$A$2:$A$37,MATCH($C316,'Mass attenuation coefficients'!$A$2:$A$37,1)))),0.997*$C316*'Mass attenuation coefficients'!$B$2/'Mass attenuation coefficients'!$A$2)</f>
        <v>9.4167038829999994E-2</v>
      </c>
      <c r="I316" s="83">
        <f>_xlfn.IFNA(INDEX('Shultis Faw'!$C$2:$C$26,MATCH($C316,'Shultis Faw'!$A$2:$A$26,1))+($C316-INDEX('Shultis Faw'!$A$2:$A$26,MATCH($C316,'Shultis Faw'!$A$2:$A$26,1)))*(INDEX('Shultis Faw'!$C$2:$C$26,MATCH($C316,'Shultis Faw'!$A$2:$A$26,1)+1)-INDEX('Shultis Faw'!$C$2:$C$26,MATCH($C316,'Shultis Faw'!$A$2:$A$26,1)))/(INDEX('Shultis Faw'!$A$2:$A$26,MATCH($C316,'Shultis Faw'!$A$2:$A$26,1)+1)-INDEX('Shultis Faw'!$A$2:$A$26,MATCH($C316,'Shultis Faw'!$A$2:$A$26,1))),$C316*'Shultis Faw'!$C$2/'Shultis Faw'!$A$2)</f>
        <v>2.4592869999999998</v>
      </c>
      <c r="J316" s="83">
        <f>_xlfn.IFNA(INDEX('Shultis Faw'!$D$2:$D$26,MATCH($C316,'Shultis Faw'!$A$2:$A$26,1))+($C316-INDEX('Shultis Faw'!$A$2:$A$26,MATCH($C316,'Shultis Faw'!$A$2:$A$26,1)))*(INDEX('Shultis Faw'!$D$2:$D$26,MATCH($C316,'Shultis Faw'!$A$2:$A$26,1)+1)-INDEX('Shultis Faw'!$D$2:$D$26,MATCH($C316,'Shultis Faw'!$A$2:$A$26,1)))/(INDEX('Shultis Faw'!$A$2:$A$26,MATCH($C316,'Shultis Faw'!$A$2:$A$26,1)+1)-INDEX('Shultis Faw'!$A$2:$A$26,MATCH($C316,'Shultis Faw'!$A$2:$A$26,1))),$C316*'Shultis Faw'!$D$2/'Shultis Faw'!$A$2)</f>
        <v>1.7372030000000001</v>
      </c>
      <c r="K316" s="83">
        <f>_xlfn.IFNA(INDEX('Shultis Faw'!$B$2:$B$26,MATCH($C316,'Shultis Faw'!$A$2:$A$26,1))+($C316-INDEX('Shultis Faw'!$A$2:$A$26,MATCH($C316,'Shultis Faw'!$A$2:$A$26,1)))*(INDEX('Shultis Faw'!$B$2:$B$26,MATCH($C316,'Shultis Faw'!$A$2:$A$26,1)+1)-INDEX('Shultis Faw'!$B$2:$B$26,MATCH($C316,'Shultis Faw'!$A$2:$A$26,1)))/(INDEX('Shultis Faw'!$A$2:$A$26,MATCH($C316,'Shultis Faw'!$A$2:$A$26,1)+1)-INDEX('Shultis Faw'!$A$2:$A$26,MATCH($C316,'Shultis Faw'!$A$2:$A$26,1))),$C316*'Shultis Faw'!$B$2/'Shultis Faw'!$A$2)</f>
        <v>-0.131359</v>
      </c>
      <c r="L316" s="83">
        <f>_xlfn.IFNA(INDEX('Shultis Faw'!$E$2:$E$26,MATCH($C316,'Shultis Faw'!$A$2:$A$26,1))+($C316-INDEX('Shultis Faw'!$A$2:$A$26,MATCH($C316,'Shultis Faw'!$A$2:$A$26,1)))*(INDEX('Shultis Faw'!$E$2:$E$26,MATCH($C316,'Shultis Faw'!$A$2:$A$26,1)+1)-INDEX('Shultis Faw'!$E$2:$E$26,MATCH($C316,'Shultis Faw'!$A$2:$A$26,1)))/(INDEX('Shultis Faw'!$A$2:$A$26,MATCH($C316,'Shultis Faw'!$A$2:$A$26,1)+1)-INDEX('Shultis Faw'!$A$2:$A$26,MATCH($C316,'Shultis Faw'!$A$2:$A$26,1))),$C316*'Shultis Faw'!$E$2/'Shultis Faw'!$A$2)</f>
        <v>5.31767E-2</v>
      </c>
      <c r="M316" s="83">
        <f>_xlfn.IFNA(INDEX('Shultis Faw'!$F$2:$F$26,MATCH($C316,'Shultis Faw'!$A$2:$A$26,1))+($C316-INDEX('Shultis Faw'!$A$2:$A$26,MATCH($C316,'Shultis Faw'!$A$2:$A$26,1)))*(INDEX('Shultis Faw'!$F$2:$F$26,MATCH($C316,'Shultis Faw'!$A$2:$A$26,1)+1)-INDEX('Shultis Faw'!$F$2:$F$26,MATCH($C316,'Shultis Faw'!$A$2:$A$26,1)))/(INDEX('Shultis Faw'!$A$2:$A$26,MATCH($C316,'Shultis Faw'!$A$2:$A$26,1)+1)-INDEX('Shultis Faw'!$A$2:$A$26,MATCH($C316,'Shultis Faw'!$A$2:$A$26,1))),$C316*'Shultis Faw'!$F$2/'Shultis Faw'!$A$2)</f>
        <v>14.296900000000001</v>
      </c>
      <c r="N316" s="83">
        <f>J316*(H316*'Externe blootstelling'!$D$23/2)^K316+L316*(TANH(((H316*'Externe blootstelling'!$D$23)/(2*M316))-2)-TANH(-2))/(1-TANH(-2))</f>
        <v>1.6603607436098116</v>
      </c>
      <c r="O316" s="83">
        <f>IF(N316=1,1+(I316-1)*H316*'Externe blootstelling'!$D$23/2,1+(I316-1)*(N316^(H316*'Externe blootstelling'!$D$23/2)-1)/(N316-1))</f>
        <v>3.3128553218656438</v>
      </c>
      <c r="P316" s="67">
        <f>G316*EXP(-H316*'Externe blootstelling'!$D$23/2)*O316</f>
        <v>8.4410612451853582E-5</v>
      </c>
      <c r="Q316" s="68"/>
    </row>
    <row r="317" spans="1:17" x14ac:dyDescent="0.2">
      <c r="A317" s="217"/>
      <c r="B317" s="64" t="s">
        <v>104</v>
      </c>
      <c r="C317" s="66">
        <v>0.53310000000000002</v>
      </c>
      <c r="D317" s="66">
        <f t="shared" si="22"/>
        <v>8.5296000000000001E-14</v>
      </c>
      <c r="E317" s="66">
        <v>7.0000000000000007E-5</v>
      </c>
      <c r="F317" s="66">
        <f>_xlfn.IFNA(INDEX('hp (pSv cm2)'!$B$2:$B$52,MATCH($C317,'hp (pSv cm2)'!$A$2:$A$52,1))+($C317-INDEX('hp (pSv cm2)'!$A$2:$A$52,MATCH($C317,'hp (pSv cm2)'!$A$2:$A$52,1)))*(INDEX('hp (pSv cm2)'!$B$2:$B$52,MATCH($C317,'hp (pSv cm2)'!$A$2:$A$52,1)+1)-INDEX('hp (pSv cm2)'!$B$2:$B$52,MATCH($C317,'hp (pSv cm2)'!$A$2:$A$52,1)))/(INDEX('hp (pSv cm2)'!$A$2:$A$52,MATCH($C317,'hp (pSv cm2)'!$A$2:$A$52,1)+1)-INDEX('hp (pSv cm2)'!$A$2:$A$52,MATCH($C317,'hp (pSv cm2)'!$A$2:$A$52,1))),$C317*'hp (pSv cm2)'!$B$2/'hp (pSv cm2)'!$A$2)</f>
        <v>2.6156400000000004</v>
      </c>
      <c r="G317" s="67">
        <f t="shared" si="23"/>
        <v>1.8309480000000005E-4</v>
      </c>
      <c r="H317" s="83">
        <f>_xlfn.IFNA(0.997*(INDEX('Mass attenuation coefficients'!$B$2:$B$37,MATCH($C317,'Mass attenuation coefficients'!$A$2:$A$37,1))+($C317-INDEX('Mass attenuation coefficients'!$A$2:$A$37,MATCH($C317,'Mass attenuation coefficients'!$A$2:$A$37,1)))*(INDEX('Mass attenuation coefficients'!$B$2:$B$37,MATCH($C317,'Mass attenuation coefficients'!$A$2:$A$37,1)+1)-INDEX('Mass attenuation coefficients'!$B$2:$B$37,MATCH($C317,'Mass attenuation coefficients'!$A$2:$A$37,1)))/(INDEX('Mass attenuation coefficients'!$A$2:$A$37,MATCH($C317,'Mass attenuation coefficients'!$A$2:$A$37,1)+1)-INDEX('Mass attenuation coefficients'!$A$2:$A$37,MATCH($C317,'Mass attenuation coefficients'!$A$2:$A$37,1)))),0.997*$C317*'Mass attenuation coefficients'!$B$2/'Mass attenuation coefficients'!$A$2)</f>
        <v>9.4167038829999994E-2</v>
      </c>
      <c r="I317" s="83">
        <f>_xlfn.IFNA(INDEX('Shultis Faw'!$C$2:$C$26,MATCH($C317,'Shultis Faw'!$A$2:$A$26,1))+($C317-INDEX('Shultis Faw'!$A$2:$A$26,MATCH($C317,'Shultis Faw'!$A$2:$A$26,1)))*(INDEX('Shultis Faw'!$C$2:$C$26,MATCH($C317,'Shultis Faw'!$A$2:$A$26,1)+1)-INDEX('Shultis Faw'!$C$2:$C$26,MATCH($C317,'Shultis Faw'!$A$2:$A$26,1)))/(INDEX('Shultis Faw'!$A$2:$A$26,MATCH($C317,'Shultis Faw'!$A$2:$A$26,1)+1)-INDEX('Shultis Faw'!$A$2:$A$26,MATCH($C317,'Shultis Faw'!$A$2:$A$26,1))),$C317*'Shultis Faw'!$C$2/'Shultis Faw'!$A$2)</f>
        <v>2.4592869999999998</v>
      </c>
      <c r="J317" s="83">
        <f>_xlfn.IFNA(INDEX('Shultis Faw'!$D$2:$D$26,MATCH($C317,'Shultis Faw'!$A$2:$A$26,1))+($C317-INDEX('Shultis Faw'!$A$2:$A$26,MATCH($C317,'Shultis Faw'!$A$2:$A$26,1)))*(INDEX('Shultis Faw'!$D$2:$D$26,MATCH($C317,'Shultis Faw'!$A$2:$A$26,1)+1)-INDEX('Shultis Faw'!$D$2:$D$26,MATCH($C317,'Shultis Faw'!$A$2:$A$26,1)))/(INDEX('Shultis Faw'!$A$2:$A$26,MATCH($C317,'Shultis Faw'!$A$2:$A$26,1)+1)-INDEX('Shultis Faw'!$A$2:$A$26,MATCH($C317,'Shultis Faw'!$A$2:$A$26,1))),$C317*'Shultis Faw'!$D$2/'Shultis Faw'!$A$2)</f>
        <v>1.7372030000000001</v>
      </c>
      <c r="K317" s="83">
        <f>_xlfn.IFNA(INDEX('Shultis Faw'!$B$2:$B$26,MATCH($C317,'Shultis Faw'!$A$2:$A$26,1))+($C317-INDEX('Shultis Faw'!$A$2:$A$26,MATCH($C317,'Shultis Faw'!$A$2:$A$26,1)))*(INDEX('Shultis Faw'!$B$2:$B$26,MATCH($C317,'Shultis Faw'!$A$2:$A$26,1)+1)-INDEX('Shultis Faw'!$B$2:$B$26,MATCH($C317,'Shultis Faw'!$A$2:$A$26,1)))/(INDEX('Shultis Faw'!$A$2:$A$26,MATCH($C317,'Shultis Faw'!$A$2:$A$26,1)+1)-INDEX('Shultis Faw'!$A$2:$A$26,MATCH($C317,'Shultis Faw'!$A$2:$A$26,1))),$C317*'Shultis Faw'!$B$2/'Shultis Faw'!$A$2)</f>
        <v>-0.131359</v>
      </c>
      <c r="L317" s="83">
        <f>_xlfn.IFNA(INDEX('Shultis Faw'!$E$2:$E$26,MATCH($C317,'Shultis Faw'!$A$2:$A$26,1))+($C317-INDEX('Shultis Faw'!$A$2:$A$26,MATCH($C317,'Shultis Faw'!$A$2:$A$26,1)))*(INDEX('Shultis Faw'!$E$2:$E$26,MATCH($C317,'Shultis Faw'!$A$2:$A$26,1)+1)-INDEX('Shultis Faw'!$E$2:$E$26,MATCH($C317,'Shultis Faw'!$A$2:$A$26,1)))/(INDEX('Shultis Faw'!$A$2:$A$26,MATCH($C317,'Shultis Faw'!$A$2:$A$26,1)+1)-INDEX('Shultis Faw'!$A$2:$A$26,MATCH($C317,'Shultis Faw'!$A$2:$A$26,1))),$C317*'Shultis Faw'!$E$2/'Shultis Faw'!$A$2)</f>
        <v>5.31767E-2</v>
      </c>
      <c r="M317" s="83">
        <f>_xlfn.IFNA(INDEX('Shultis Faw'!$F$2:$F$26,MATCH($C317,'Shultis Faw'!$A$2:$A$26,1))+($C317-INDEX('Shultis Faw'!$A$2:$A$26,MATCH($C317,'Shultis Faw'!$A$2:$A$26,1)))*(INDEX('Shultis Faw'!$F$2:$F$26,MATCH($C317,'Shultis Faw'!$A$2:$A$26,1)+1)-INDEX('Shultis Faw'!$F$2:$F$26,MATCH($C317,'Shultis Faw'!$A$2:$A$26,1)))/(INDEX('Shultis Faw'!$A$2:$A$26,MATCH($C317,'Shultis Faw'!$A$2:$A$26,1)+1)-INDEX('Shultis Faw'!$A$2:$A$26,MATCH($C317,'Shultis Faw'!$A$2:$A$26,1))),$C317*'Shultis Faw'!$F$2/'Shultis Faw'!$A$2)</f>
        <v>14.296900000000001</v>
      </c>
      <c r="N317" s="83">
        <f>J317*(H317*'Externe blootstelling'!$D$23/2)^K317+L317*(TANH(((H317*'Externe blootstelling'!$D$23)/(2*M317))-2)-TANH(-2))/(1-TANH(-2))</f>
        <v>1.6603607436098116</v>
      </c>
      <c r="O317" s="83">
        <f>IF(N317=1,1+(I317-1)*H317*'Externe blootstelling'!$D$23/2,1+(I317-1)*(N317^(H317*'Externe blootstelling'!$D$23/2)-1)/(N317-1))</f>
        <v>3.3128553218656438</v>
      </c>
      <c r="P317" s="67">
        <f>G317*EXP(-H317*'Externe blootstelling'!$D$23/2)*O317</f>
        <v>1.4771857179074377E-4</v>
      </c>
      <c r="Q317" s="68"/>
    </row>
    <row r="318" spans="1:17" x14ac:dyDescent="0.2">
      <c r="A318" s="217"/>
      <c r="B318" s="64" t="s">
        <v>104</v>
      </c>
      <c r="C318" s="66">
        <v>0.54559999999999997</v>
      </c>
      <c r="D318" s="66">
        <f t="shared" si="22"/>
        <v>8.7295999999999992E-14</v>
      </c>
      <c r="E318" s="66">
        <v>1.4000000000000001E-4</v>
      </c>
      <c r="F318" s="66">
        <f>_xlfn.IFNA(INDEX('hp (pSv cm2)'!$B$2:$B$52,MATCH($C318,'hp (pSv cm2)'!$A$2:$A$52,1))+($C318-INDEX('hp (pSv cm2)'!$A$2:$A$52,MATCH($C318,'hp (pSv cm2)'!$A$2:$A$52,1)))*(INDEX('hp (pSv cm2)'!$B$2:$B$52,MATCH($C318,'hp (pSv cm2)'!$A$2:$A$52,1)+1)-INDEX('hp (pSv cm2)'!$B$2:$B$52,MATCH($C318,'hp (pSv cm2)'!$A$2:$A$52,1)))/(INDEX('hp (pSv cm2)'!$A$2:$A$52,MATCH($C318,'hp (pSv cm2)'!$A$2:$A$52,1)+1)-INDEX('hp (pSv cm2)'!$A$2:$A$52,MATCH($C318,'hp (pSv cm2)'!$A$2:$A$52,1))),$C318*'hp (pSv cm2)'!$B$2/'hp (pSv cm2)'!$A$2)</f>
        <v>2.6706400000000001</v>
      </c>
      <c r="G318" s="67">
        <f t="shared" si="23"/>
        <v>3.7388960000000007E-4</v>
      </c>
      <c r="H318" s="83">
        <f>_xlfn.IFNA(0.997*(INDEX('Mass attenuation coefficients'!$B$2:$B$37,MATCH($C318,'Mass attenuation coefficients'!$A$2:$A$37,1))+($C318-INDEX('Mass attenuation coefficients'!$A$2:$A$37,MATCH($C318,'Mass attenuation coefficients'!$A$2:$A$37,1)))*(INDEX('Mass attenuation coefficients'!$B$2:$B$37,MATCH($C318,'Mass attenuation coefficients'!$A$2:$A$37,1)+1)-INDEX('Mass attenuation coefficients'!$B$2:$B$37,MATCH($C318,'Mass attenuation coefficients'!$A$2:$A$37,1)))/(INDEX('Mass attenuation coefficients'!$A$2:$A$37,MATCH($C318,'Mass attenuation coefficients'!$A$2:$A$37,1)+1)-INDEX('Mass attenuation coefficients'!$A$2:$A$37,MATCH($C318,'Mass attenuation coefficients'!$A$2:$A$37,1)))),0.997*$C318*'Mass attenuation coefficients'!$B$2/'Mass attenuation coefficients'!$A$2)</f>
        <v>9.325603008000001E-2</v>
      </c>
      <c r="I318" s="83">
        <f>_xlfn.IFNA(INDEX('Shultis Faw'!$C$2:$C$26,MATCH($C318,'Shultis Faw'!$A$2:$A$26,1))+($C318-INDEX('Shultis Faw'!$A$2:$A$26,MATCH($C318,'Shultis Faw'!$A$2:$A$26,1)))*(INDEX('Shultis Faw'!$C$2:$C$26,MATCH($C318,'Shultis Faw'!$A$2:$A$26,1)+1)-INDEX('Shultis Faw'!$C$2:$C$26,MATCH($C318,'Shultis Faw'!$A$2:$A$26,1)))/(INDEX('Shultis Faw'!$A$2:$A$26,MATCH($C318,'Shultis Faw'!$A$2:$A$26,1)+1)-INDEX('Shultis Faw'!$A$2:$A$26,MATCH($C318,'Shultis Faw'!$A$2:$A$26,1))),$C318*'Shultis Faw'!$C$2/'Shultis Faw'!$A$2)</f>
        <v>2.4439120000000001</v>
      </c>
      <c r="J318" s="83">
        <f>_xlfn.IFNA(INDEX('Shultis Faw'!$D$2:$D$26,MATCH($C318,'Shultis Faw'!$A$2:$A$26,1))+($C318-INDEX('Shultis Faw'!$A$2:$A$26,MATCH($C318,'Shultis Faw'!$A$2:$A$26,1)))*(INDEX('Shultis Faw'!$D$2:$D$26,MATCH($C318,'Shultis Faw'!$A$2:$A$26,1)+1)-INDEX('Shultis Faw'!$D$2:$D$26,MATCH($C318,'Shultis Faw'!$A$2:$A$26,1)))/(INDEX('Shultis Faw'!$A$2:$A$26,MATCH($C318,'Shultis Faw'!$A$2:$A$26,1)+1)-INDEX('Shultis Faw'!$A$2:$A$26,MATCH($C318,'Shultis Faw'!$A$2:$A$26,1))),$C318*'Shultis Faw'!$D$2/'Shultis Faw'!$A$2)</f>
        <v>1.7263280000000001</v>
      </c>
      <c r="K318" s="83">
        <f>_xlfn.IFNA(INDEX('Shultis Faw'!$B$2:$B$26,MATCH($C318,'Shultis Faw'!$A$2:$A$26,1))+($C318-INDEX('Shultis Faw'!$A$2:$A$26,MATCH($C318,'Shultis Faw'!$A$2:$A$26,1)))*(INDEX('Shultis Faw'!$B$2:$B$26,MATCH($C318,'Shultis Faw'!$A$2:$A$26,1)+1)-INDEX('Shultis Faw'!$B$2:$B$26,MATCH($C318,'Shultis Faw'!$A$2:$A$26,1)))/(INDEX('Shultis Faw'!$A$2:$A$26,MATCH($C318,'Shultis Faw'!$A$2:$A$26,1)+1)-INDEX('Shultis Faw'!$A$2:$A$26,MATCH($C318,'Shultis Faw'!$A$2:$A$26,1))),$C318*'Shultis Faw'!$B$2/'Shultis Faw'!$A$2)</f>
        <v>-0.12998400000000002</v>
      </c>
      <c r="L318" s="83">
        <f>_xlfn.IFNA(INDEX('Shultis Faw'!$E$2:$E$26,MATCH($C318,'Shultis Faw'!$A$2:$A$26,1))+($C318-INDEX('Shultis Faw'!$A$2:$A$26,MATCH($C318,'Shultis Faw'!$A$2:$A$26,1)))*(INDEX('Shultis Faw'!$E$2:$E$26,MATCH($C318,'Shultis Faw'!$A$2:$A$26,1)+1)-INDEX('Shultis Faw'!$E$2:$E$26,MATCH($C318,'Shultis Faw'!$A$2:$A$26,1)))/(INDEX('Shultis Faw'!$A$2:$A$26,MATCH($C318,'Shultis Faw'!$A$2:$A$26,1)+1)-INDEX('Shultis Faw'!$A$2:$A$26,MATCH($C318,'Shultis Faw'!$A$2:$A$26,1))),$C318*'Shultis Faw'!$E$2/'Shultis Faw'!$A$2)</f>
        <v>5.2639200000000004E-2</v>
      </c>
      <c r="M318" s="83">
        <f>_xlfn.IFNA(INDEX('Shultis Faw'!$F$2:$F$26,MATCH($C318,'Shultis Faw'!$A$2:$A$26,1))+($C318-INDEX('Shultis Faw'!$A$2:$A$26,MATCH($C318,'Shultis Faw'!$A$2:$A$26,1)))*(INDEX('Shultis Faw'!$F$2:$F$26,MATCH($C318,'Shultis Faw'!$A$2:$A$26,1)+1)-INDEX('Shultis Faw'!$F$2:$F$26,MATCH($C318,'Shultis Faw'!$A$2:$A$26,1)))/(INDEX('Shultis Faw'!$A$2:$A$26,MATCH($C318,'Shultis Faw'!$A$2:$A$26,1)+1)-INDEX('Shultis Faw'!$A$2:$A$26,MATCH($C318,'Shultis Faw'!$A$2:$A$26,1))),$C318*'Shultis Faw'!$F$2/'Shultis Faw'!$A$2)</f>
        <v>14.2844</v>
      </c>
      <c r="N318" s="83">
        <f>J318*(H318*'Externe blootstelling'!$D$23/2)^K318+L318*(TANH(((H318*'Externe blootstelling'!$D$23)/(2*M318))-2)-TANH(-2))/(1-TANH(-2))</f>
        <v>1.6528346174825976</v>
      </c>
      <c r="O318" s="83">
        <f>IF(N318=1,1+(I318-1)*H318*'Externe blootstelling'!$D$23/2,1+(I318-1)*(N318^(H318*'Externe blootstelling'!$D$23/2)-1)/(N318-1))</f>
        <v>3.2551364554690108</v>
      </c>
      <c r="P318" s="67">
        <f>G318*EXP(-H318*'Externe blootstelling'!$D$23/2)*O318</f>
        <v>3.0047192201552216E-4</v>
      </c>
      <c r="Q318" s="68"/>
    </row>
    <row r="319" spans="1:17" x14ac:dyDescent="0.2">
      <c r="A319" s="217"/>
      <c r="B319" s="64" t="s">
        <v>104</v>
      </c>
      <c r="C319" s="66">
        <v>0.55758000000000008</v>
      </c>
      <c r="D319" s="66">
        <f t="shared" si="22"/>
        <v>8.9212800000000019E-14</v>
      </c>
      <c r="E319" s="66">
        <v>2.6700000000000001E-3</v>
      </c>
      <c r="F319" s="66">
        <f>_xlfn.IFNA(INDEX('hp (pSv cm2)'!$B$2:$B$52,MATCH($C319,'hp (pSv cm2)'!$A$2:$A$52,1))+($C319-INDEX('hp (pSv cm2)'!$A$2:$A$52,MATCH($C319,'hp (pSv cm2)'!$A$2:$A$52,1)))*(INDEX('hp (pSv cm2)'!$B$2:$B$52,MATCH($C319,'hp (pSv cm2)'!$A$2:$A$52,1)+1)-INDEX('hp (pSv cm2)'!$B$2:$B$52,MATCH($C319,'hp (pSv cm2)'!$A$2:$A$52,1)))/(INDEX('hp (pSv cm2)'!$A$2:$A$52,MATCH($C319,'hp (pSv cm2)'!$A$2:$A$52,1)+1)-INDEX('hp (pSv cm2)'!$A$2:$A$52,MATCH($C319,'hp (pSv cm2)'!$A$2:$A$52,1))),$C319*'hp (pSv cm2)'!$B$2/'hp (pSv cm2)'!$A$2)</f>
        <v>2.7233520000000007</v>
      </c>
      <c r="G319" s="67">
        <f t="shared" si="23"/>
        <v>7.2713498400000017E-3</v>
      </c>
      <c r="H319" s="83">
        <f>_xlfn.IFNA(0.997*(INDEX('Mass attenuation coefficients'!$B$2:$B$37,MATCH($C319,'Mass attenuation coefficients'!$A$2:$A$37,1))+($C319-INDEX('Mass attenuation coefficients'!$A$2:$A$37,MATCH($C319,'Mass attenuation coefficients'!$A$2:$A$37,1)))*(INDEX('Mass attenuation coefficients'!$B$2:$B$37,MATCH($C319,'Mass attenuation coefficients'!$A$2:$A$37,1)+1)-INDEX('Mass attenuation coefficients'!$B$2:$B$37,MATCH($C319,'Mass attenuation coefficients'!$A$2:$A$37,1)))/(INDEX('Mass attenuation coefficients'!$A$2:$A$37,MATCH($C319,'Mass attenuation coefficients'!$A$2:$A$37,1)+1)-INDEX('Mass attenuation coefficients'!$A$2:$A$37,MATCH($C319,'Mass attenuation coefficients'!$A$2:$A$37,1)))),0.997*$C319*'Mass attenuation coefficients'!$B$2/'Mass attenuation coefficients'!$A$2)</f>
        <v>9.2382919293999985E-2</v>
      </c>
      <c r="I319" s="83">
        <f>_xlfn.IFNA(INDEX('Shultis Faw'!$C$2:$C$26,MATCH($C319,'Shultis Faw'!$A$2:$A$26,1))+($C319-INDEX('Shultis Faw'!$A$2:$A$26,MATCH($C319,'Shultis Faw'!$A$2:$A$26,1)))*(INDEX('Shultis Faw'!$C$2:$C$26,MATCH($C319,'Shultis Faw'!$A$2:$A$26,1)+1)-INDEX('Shultis Faw'!$C$2:$C$26,MATCH($C319,'Shultis Faw'!$A$2:$A$26,1)))/(INDEX('Shultis Faw'!$A$2:$A$26,MATCH($C319,'Shultis Faw'!$A$2:$A$26,1)+1)-INDEX('Shultis Faw'!$A$2:$A$26,MATCH($C319,'Shultis Faw'!$A$2:$A$26,1))),$C319*'Shultis Faw'!$C$2/'Shultis Faw'!$A$2)</f>
        <v>2.4291765999999999</v>
      </c>
      <c r="J319" s="83">
        <f>_xlfn.IFNA(INDEX('Shultis Faw'!$D$2:$D$26,MATCH($C319,'Shultis Faw'!$A$2:$A$26,1))+($C319-INDEX('Shultis Faw'!$A$2:$A$26,MATCH($C319,'Shultis Faw'!$A$2:$A$26,1)))*(INDEX('Shultis Faw'!$D$2:$D$26,MATCH($C319,'Shultis Faw'!$A$2:$A$26,1)+1)-INDEX('Shultis Faw'!$D$2:$D$26,MATCH($C319,'Shultis Faw'!$A$2:$A$26,1)))/(INDEX('Shultis Faw'!$A$2:$A$26,MATCH($C319,'Shultis Faw'!$A$2:$A$26,1)+1)-INDEX('Shultis Faw'!$A$2:$A$26,MATCH($C319,'Shultis Faw'!$A$2:$A$26,1))),$C319*'Shultis Faw'!$D$2/'Shultis Faw'!$A$2)</f>
        <v>1.7159054</v>
      </c>
      <c r="K319" s="83">
        <f>_xlfn.IFNA(INDEX('Shultis Faw'!$B$2:$B$26,MATCH($C319,'Shultis Faw'!$A$2:$A$26,1))+($C319-INDEX('Shultis Faw'!$A$2:$A$26,MATCH($C319,'Shultis Faw'!$A$2:$A$26,1)))*(INDEX('Shultis Faw'!$B$2:$B$26,MATCH($C319,'Shultis Faw'!$A$2:$A$26,1)+1)-INDEX('Shultis Faw'!$B$2:$B$26,MATCH($C319,'Shultis Faw'!$A$2:$A$26,1)))/(INDEX('Shultis Faw'!$A$2:$A$26,MATCH($C319,'Shultis Faw'!$A$2:$A$26,1)+1)-INDEX('Shultis Faw'!$A$2:$A$26,MATCH($C319,'Shultis Faw'!$A$2:$A$26,1))),$C319*'Shultis Faw'!$B$2/'Shultis Faw'!$A$2)</f>
        <v>-0.12866619999999998</v>
      </c>
      <c r="L319" s="83">
        <f>_xlfn.IFNA(INDEX('Shultis Faw'!$E$2:$E$26,MATCH($C319,'Shultis Faw'!$A$2:$A$26,1))+($C319-INDEX('Shultis Faw'!$A$2:$A$26,MATCH($C319,'Shultis Faw'!$A$2:$A$26,1)))*(INDEX('Shultis Faw'!$E$2:$E$26,MATCH($C319,'Shultis Faw'!$A$2:$A$26,1)+1)-INDEX('Shultis Faw'!$E$2:$E$26,MATCH($C319,'Shultis Faw'!$A$2:$A$26,1)))/(INDEX('Shultis Faw'!$A$2:$A$26,MATCH($C319,'Shultis Faw'!$A$2:$A$26,1)+1)-INDEX('Shultis Faw'!$A$2:$A$26,MATCH($C319,'Shultis Faw'!$A$2:$A$26,1))),$C319*'Shultis Faw'!$E$2/'Shultis Faw'!$A$2)</f>
        <v>5.2124059999999993E-2</v>
      </c>
      <c r="M319" s="83">
        <f>_xlfn.IFNA(INDEX('Shultis Faw'!$F$2:$F$26,MATCH($C319,'Shultis Faw'!$A$2:$A$26,1))+($C319-INDEX('Shultis Faw'!$A$2:$A$26,MATCH($C319,'Shultis Faw'!$A$2:$A$26,1)))*(INDEX('Shultis Faw'!$F$2:$F$26,MATCH($C319,'Shultis Faw'!$A$2:$A$26,1)+1)-INDEX('Shultis Faw'!$F$2:$F$26,MATCH($C319,'Shultis Faw'!$A$2:$A$26,1)))/(INDEX('Shultis Faw'!$A$2:$A$26,MATCH($C319,'Shultis Faw'!$A$2:$A$26,1)+1)-INDEX('Shultis Faw'!$A$2:$A$26,MATCH($C319,'Shultis Faw'!$A$2:$A$26,1))),$C319*'Shultis Faw'!$F$2/'Shultis Faw'!$A$2)</f>
        <v>14.27242</v>
      </c>
      <c r="N319" s="83">
        <f>J319*(H319*'Externe blootstelling'!$D$23/2)^K319+L319*(TANH(((H319*'Externe blootstelling'!$D$23)/(2*M319))-2)-TANH(-2))/(1-TANH(-2))</f>
        <v>1.6455700086996721</v>
      </c>
      <c r="O319" s="83">
        <f>IF(N319=1,1+(I319-1)*H319*'Externe blootstelling'!$D$23/2,1+(I319-1)*(N319^(H319*'Externe blootstelling'!$D$23/2)-1)/(N319-1))</f>
        <v>3.200882938785556</v>
      </c>
      <c r="P319" s="67">
        <f>G319*EXP(-H319*'Externe blootstelling'!$D$23/2)*O319</f>
        <v>5.8218893965686939E-3</v>
      </c>
      <c r="Q319" s="68"/>
    </row>
    <row r="320" spans="1:17" x14ac:dyDescent="0.2">
      <c r="A320" s="217"/>
      <c r="B320" s="64" t="s">
        <v>104</v>
      </c>
      <c r="C320" s="66">
        <v>0.56340000000000001</v>
      </c>
      <c r="D320" s="66">
        <f t="shared" si="22"/>
        <v>9.0143999999999994E-14</v>
      </c>
      <c r="E320" s="66">
        <v>2.8E-5</v>
      </c>
      <c r="F320" s="66">
        <f>_xlfn.IFNA(INDEX('hp (pSv cm2)'!$B$2:$B$52,MATCH($C320,'hp (pSv cm2)'!$A$2:$A$52,1))+($C320-INDEX('hp (pSv cm2)'!$A$2:$A$52,MATCH($C320,'hp (pSv cm2)'!$A$2:$A$52,1)))*(INDEX('hp (pSv cm2)'!$B$2:$B$52,MATCH($C320,'hp (pSv cm2)'!$A$2:$A$52,1)+1)-INDEX('hp (pSv cm2)'!$B$2:$B$52,MATCH($C320,'hp (pSv cm2)'!$A$2:$A$52,1)))/(INDEX('hp (pSv cm2)'!$A$2:$A$52,MATCH($C320,'hp (pSv cm2)'!$A$2:$A$52,1)+1)-INDEX('hp (pSv cm2)'!$A$2:$A$52,MATCH($C320,'hp (pSv cm2)'!$A$2:$A$52,1))),$C320*'hp (pSv cm2)'!$B$2/'hp (pSv cm2)'!$A$2)</f>
        <v>2.7489600000000003</v>
      </c>
      <c r="G320" s="67">
        <f t="shared" si="23"/>
        <v>7.6970880000000011E-5</v>
      </c>
      <c r="H320" s="83">
        <f>_xlfn.IFNA(0.997*(INDEX('Mass attenuation coefficients'!$B$2:$B$37,MATCH($C320,'Mass attenuation coefficients'!$A$2:$A$37,1))+($C320-INDEX('Mass attenuation coefficients'!$A$2:$A$37,MATCH($C320,'Mass attenuation coefficients'!$A$2:$A$37,1)))*(INDEX('Mass attenuation coefficients'!$B$2:$B$37,MATCH($C320,'Mass attenuation coefficients'!$A$2:$A$37,1)+1)-INDEX('Mass attenuation coefficients'!$B$2:$B$37,MATCH($C320,'Mass attenuation coefficients'!$A$2:$A$37,1)))/(INDEX('Mass attenuation coefficients'!$A$2:$A$37,MATCH($C320,'Mass attenuation coefficients'!$A$2:$A$37,1)+1)-INDEX('Mass attenuation coefficients'!$A$2:$A$37,MATCH($C320,'Mass attenuation coefficients'!$A$2:$A$37,1)))),0.997*$C320*'Mass attenuation coefficients'!$B$2/'Mass attenuation coefficients'!$A$2)</f>
        <v>9.1958753619999986E-2</v>
      </c>
      <c r="I320" s="83">
        <f>_xlfn.IFNA(INDEX('Shultis Faw'!$C$2:$C$26,MATCH($C320,'Shultis Faw'!$A$2:$A$26,1))+($C320-INDEX('Shultis Faw'!$A$2:$A$26,MATCH($C320,'Shultis Faw'!$A$2:$A$26,1)))*(INDEX('Shultis Faw'!$C$2:$C$26,MATCH($C320,'Shultis Faw'!$A$2:$A$26,1)+1)-INDEX('Shultis Faw'!$C$2:$C$26,MATCH($C320,'Shultis Faw'!$A$2:$A$26,1)))/(INDEX('Shultis Faw'!$A$2:$A$26,MATCH($C320,'Shultis Faw'!$A$2:$A$26,1)+1)-INDEX('Shultis Faw'!$A$2:$A$26,MATCH($C320,'Shultis Faw'!$A$2:$A$26,1))),$C320*'Shultis Faw'!$C$2/'Shultis Faw'!$A$2)</f>
        <v>2.422018</v>
      </c>
      <c r="J320" s="83">
        <f>_xlfn.IFNA(INDEX('Shultis Faw'!$D$2:$D$26,MATCH($C320,'Shultis Faw'!$A$2:$A$26,1))+($C320-INDEX('Shultis Faw'!$A$2:$A$26,MATCH($C320,'Shultis Faw'!$A$2:$A$26,1)))*(INDEX('Shultis Faw'!$D$2:$D$26,MATCH($C320,'Shultis Faw'!$A$2:$A$26,1)+1)-INDEX('Shultis Faw'!$D$2:$D$26,MATCH($C320,'Shultis Faw'!$A$2:$A$26,1)))/(INDEX('Shultis Faw'!$A$2:$A$26,MATCH($C320,'Shultis Faw'!$A$2:$A$26,1)+1)-INDEX('Shultis Faw'!$A$2:$A$26,MATCH($C320,'Shultis Faw'!$A$2:$A$26,1))),$C320*'Shultis Faw'!$D$2/'Shultis Faw'!$A$2)</f>
        <v>1.710842</v>
      </c>
      <c r="K320" s="83">
        <f>_xlfn.IFNA(INDEX('Shultis Faw'!$B$2:$B$26,MATCH($C320,'Shultis Faw'!$A$2:$A$26,1))+($C320-INDEX('Shultis Faw'!$A$2:$A$26,MATCH($C320,'Shultis Faw'!$A$2:$A$26,1)))*(INDEX('Shultis Faw'!$B$2:$B$26,MATCH($C320,'Shultis Faw'!$A$2:$A$26,1)+1)-INDEX('Shultis Faw'!$B$2:$B$26,MATCH($C320,'Shultis Faw'!$A$2:$A$26,1)))/(INDEX('Shultis Faw'!$A$2:$A$26,MATCH($C320,'Shultis Faw'!$A$2:$A$26,1)+1)-INDEX('Shultis Faw'!$A$2:$A$26,MATCH($C320,'Shultis Faw'!$A$2:$A$26,1))),$C320*'Shultis Faw'!$B$2/'Shultis Faw'!$A$2)</f>
        <v>-0.128026</v>
      </c>
      <c r="L320" s="83">
        <f>_xlfn.IFNA(INDEX('Shultis Faw'!$E$2:$E$26,MATCH($C320,'Shultis Faw'!$A$2:$A$26,1))+($C320-INDEX('Shultis Faw'!$A$2:$A$26,MATCH($C320,'Shultis Faw'!$A$2:$A$26,1)))*(INDEX('Shultis Faw'!$E$2:$E$26,MATCH($C320,'Shultis Faw'!$A$2:$A$26,1)+1)-INDEX('Shultis Faw'!$E$2:$E$26,MATCH($C320,'Shultis Faw'!$A$2:$A$26,1)))/(INDEX('Shultis Faw'!$A$2:$A$26,MATCH($C320,'Shultis Faw'!$A$2:$A$26,1)+1)-INDEX('Shultis Faw'!$A$2:$A$26,MATCH($C320,'Shultis Faw'!$A$2:$A$26,1))),$C320*'Shultis Faw'!$E$2/'Shultis Faw'!$A$2)</f>
        <v>5.1873799999999998E-2</v>
      </c>
      <c r="M320" s="83">
        <f>_xlfn.IFNA(INDEX('Shultis Faw'!$F$2:$F$26,MATCH($C320,'Shultis Faw'!$A$2:$A$26,1))+($C320-INDEX('Shultis Faw'!$A$2:$A$26,MATCH($C320,'Shultis Faw'!$A$2:$A$26,1)))*(INDEX('Shultis Faw'!$F$2:$F$26,MATCH($C320,'Shultis Faw'!$A$2:$A$26,1)+1)-INDEX('Shultis Faw'!$F$2:$F$26,MATCH($C320,'Shultis Faw'!$A$2:$A$26,1)))/(INDEX('Shultis Faw'!$A$2:$A$26,MATCH($C320,'Shultis Faw'!$A$2:$A$26,1)+1)-INDEX('Shultis Faw'!$A$2:$A$26,MATCH($C320,'Shultis Faw'!$A$2:$A$26,1))),$C320*'Shultis Faw'!$F$2/'Shultis Faw'!$A$2)</f>
        <v>14.2666</v>
      </c>
      <c r="N320" s="83">
        <f>J320*(H320*'Externe blootstelling'!$D$23/2)^K320+L320*(TANH(((H320*'Externe blootstelling'!$D$23)/(2*M320))-2)-TANH(-2))/(1-TANH(-2))</f>
        <v>1.6420225730356803</v>
      </c>
      <c r="O320" s="83">
        <f>IF(N320=1,1+(I320-1)*H320*'Externe blootstelling'!$D$23/2,1+(I320-1)*(N320^(H320*'Externe blootstelling'!$D$23/2)-1)/(N320-1))</f>
        <v>3.1748965438088961</v>
      </c>
      <c r="P320" s="67">
        <f>G320*EXP(-H320*'Externe blootstelling'!$D$23/2)*O320</f>
        <v>6.1517452275532564E-5</v>
      </c>
      <c r="Q320" s="68"/>
    </row>
    <row r="321" spans="1:17" x14ac:dyDescent="0.2">
      <c r="A321" s="217"/>
      <c r="B321" s="64" t="s">
        <v>104</v>
      </c>
      <c r="C321" s="66">
        <v>0.56923000000000001</v>
      </c>
      <c r="D321" s="66">
        <f t="shared" si="22"/>
        <v>9.1076799999999997E-14</v>
      </c>
      <c r="E321" s="66">
        <v>1E-4</v>
      </c>
      <c r="F321" s="66">
        <f>_xlfn.IFNA(INDEX('hp (pSv cm2)'!$B$2:$B$52,MATCH($C321,'hp (pSv cm2)'!$A$2:$A$52,1))+($C321-INDEX('hp (pSv cm2)'!$A$2:$A$52,MATCH($C321,'hp (pSv cm2)'!$A$2:$A$52,1)))*(INDEX('hp (pSv cm2)'!$B$2:$B$52,MATCH($C321,'hp (pSv cm2)'!$A$2:$A$52,1)+1)-INDEX('hp (pSv cm2)'!$B$2:$B$52,MATCH($C321,'hp (pSv cm2)'!$A$2:$A$52,1)))/(INDEX('hp (pSv cm2)'!$A$2:$A$52,MATCH($C321,'hp (pSv cm2)'!$A$2:$A$52,1)+1)-INDEX('hp (pSv cm2)'!$A$2:$A$52,MATCH($C321,'hp (pSv cm2)'!$A$2:$A$52,1))),$C321*'hp (pSv cm2)'!$B$2/'hp (pSv cm2)'!$A$2)</f>
        <v>2.7746120000000003</v>
      </c>
      <c r="G321" s="67">
        <f t="shared" si="23"/>
        <v>2.7746120000000002E-4</v>
      </c>
      <c r="H321" s="83">
        <f>_xlfn.IFNA(0.997*(INDEX('Mass attenuation coefficients'!$B$2:$B$37,MATCH($C321,'Mass attenuation coefficients'!$A$2:$A$37,1))+($C321-INDEX('Mass attenuation coefficients'!$A$2:$A$37,MATCH($C321,'Mass attenuation coefficients'!$A$2:$A$37,1)))*(INDEX('Mass attenuation coefficients'!$B$2:$B$37,MATCH($C321,'Mass attenuation coefficients'!$A$2:$A$37,1)+1)-INDEX('Mass attenuation coefficients'!$B$2:$B$37,MATCH($C321,'Mass attenuation coefficients'!$A$2:$A$37,1)))/(INDEX('Mass attenuation coefficients'!$A$2:$A$37,MATCH($C321,'Mass attenuation coefficients'!$A$2:$A$37,1)+1)-INDEX('Mass attenuation coefficients'!$A$2:$A$37,MATCH($C321,'Mass attenuation coefficients'!$A$2:$A$37,1)))),0.997*$C321*'Mass attenuation coefficients'!$B$2/'Mass attenuation coefficients'!$A$2)</f>
        <v>9.1533859139000001E-2</v>
      </c>
      <c r="I321" s="83">
        <f>_xlfn.IFNA(INDEX('Shultis Faw'!$C$2:$C$26,MATCH($C321,'Shultis Faw'!$A$2:$A$26,1))+($C321-INDEX('Shultis Faw'!$A$2:$A$26,MATCH($C321,'Shultis Faw'!$A$2:$A$26,1)))*(INDEX('Shultis Faw'!$C$2:$C$26,MATCH($C321,'Shultis Faw'!$A$2:$A$26,1)+1)-INDEX('Shultis Faw'!$C$2:$C$26,MATCH($C321,'Shultis Faw'!$A$2:$A$26,1)))/(INDEX('Shultis Faw'!$A$2:$A$26,MATCH($C321,'Shultis Faw'!$A$2:$A$26,1)+1)-INDEX('Shultis Faw'!$A$2:$A$26,MATCH($C321,'Shultis Faw'!$A$2:$A$26,1))),$C321*'Shultis Faw'!$C$2/'Shultis Faw'!$A$2)</f>
        <v>2.4148470999999998</v>
      </c>
      <c r="J321" s="83">
        <f>_xlfn.IFNA(INDEX('Shultis Faw'!$D$2:$D$26,MATCH($C321,'Shultis Faw'!$A$2:$A$26,1))+($C321-INDEX('Shultis Faw'!$A$2:$A$26,MATCH($C321,'Shultis Faw'!$A$2:$A$26,1)))*(INDEX('Shultis Faw'!$D$2:$D$26,MATCH($C321,'Shultis Faw'!$A$2:$A$26,1)+1)-INDEX('Shultis Faw'!$D$2:$D$26,MATCH($C321,'Shultis Faw'!$A$2:$A$26,1)))/(INDEX('Shultis Faw'!$A$2:$A$26,MATCH($C321,'Shultis Faw'!$A$2:$A$26,1)+1)-INDEX('Shultis Faw'!$A$2:$A$26,MATCH($C321,'Shultis Faw'!$A$2:$A$26,1))),$C321*'Shultis Faw'!$D$2/'Shultis Faw'!$A$2)</f>
        <v>1.7057699</v>
      </c>
      <c r="K321" s="83">
        <f>_xlfn.IFNA(INDEX('Shultis Faw'!$B$2:$B$26,MATCH($C321,'Shultis Faw'!$A$2:$A$26,1))+($C321-INDEX('Shultis Faw'!$A$2:$A$26,MATCH($C321,'Shultis Faw'!$A$2:$A$26,1)))*(INDEX('Shultis Faw'!$B$2:$B$26,MATCH($C321,'Shultis Faw'!$A$2:$A$26,1)+1)-INDEX('Shultis Faw'!$B$2:$B$26,MATCH($C321,'Shultis Faw'!$A$2:$A$26,1)))/(INDEX('Shultis Faw'!$A$2:$A$26,MATCH($C321,'Shultis Faw'!$A$2:$A$26,1)+1)-INDEX('Shultis Faw'!$A$2:$A$26,MATCH($C321,'Shultis Faw'!$A$2:$A$26,1))),$C321*'Shultis Faw'!$B$2/'Shultis Faw'!$A$2)</f>
        <v>-0.12738469999999999</v>
      </c>
      <c r="L321" s="83">
        <f>_xlfn.IFNA(INDEX('Shultis Faw'!$E$2:$E$26,MATCH($C321,'Shultis Faw'!$A$2:$A$26,1))+($C321-INDEX('Shultis Faw'!$A$2:$A$26,MATCH($C321,'Shultis Faw'!$A$2:$A$26,1)))*(INDEX('Shultis Faw'!$E$2:$E$26,MATCH($C321,'Shultis Faw'!$A$2:$A$26,1)+1)-INDEX('Shultis Faw'!$E$2:$E$26,MATCH($C321,'Shultis Faw'!$A$2:$A$26,1)))/(INDEX('Shultis Faw'!$A$2:$A$26,MATCH($C321,'Shultis Faw'!$A$2:$A$26,1)+1)-INDEX('Shultis Faw'!$A$2:$A$26,MATCH($C321,'Shultis Faw'!$A$2:$A$26,1))),$C321*'Shultis Faw'!$E$2/'Shultis Faw'!$A$2)</f>
        <v>5.162311E-2</v>
      </c>
      <c r="M321" s="83">
        <f>_xlfn.IFNA(INDEX('Shultis Faw'!$F$2:$F$26,MATCH($C321,'Shultis Faw'!$A$2:$A$26,1))+($C321-INDEX('Shultis Faw'!$A$2:$A$26,MATCH($C321,'Shultis Faw'!$A$2:$A$26,1)))*(INDEX('Shultis Faw'!$F$2:$F$26,MATCH($C321,'Shultis Faw'!$A$2:$A$26,1)+1)-INDEX('Shultis Faw'!$F$2:$F$26,MATCH($C321,'Shultis Faw'!$A$2:$A$26,1)))/(INDEX('Shultis Faw'!$A$2:$A$26,MATCH($C321,'Shultis Faw'!$A$2:$A$26,1)+1)-INDEX('Shultis Faw'!$A$2:$A$26,MATCH($C321,'Shultis Faw'!$A$2:$A$26,1))),$C321*'Shultis Faw'!$F$2/'Shultis Faw'!$A$2)</f>
        <v>14.260770000000001</v>
      </c>
      <c r="N321" s="83">
        <f>J321*(H321*'Externe blootstelling'!$D$23/2)^K321+L321*(TANH(((H321*'Externe blootstelling'!$D$23)/(2*M321))-2)-TANH(-2))/(1-TANH(-2))</f>
        <v>1.6384570971976986</v>
      </c>
      <c r="O321" s="83">
        <f>IF(N321=1,1+(I321-1)*H321*'Externe blootstelling'!$D$23/2,1+(I321-1)*(N321^(H321*'Externe blootstelling'!$D$23/2)-1)/(N321-1))</f>
        <v>3.1491056464730494</v>
      </c>
      <c r="P321" s="67">
        <f>G321*EXP(-H321*'Externe blootstelling'!$D$23/2)*O321</f>
        <v>2.213603036611565E-4</v>
      </c>
      <c r="Q321" s="68"/>
    </row>
    <row r="322" spans="1:17" x14ac:dyDescent="0.2">
      <c r="A322" s="217"/>
      <c r="B322" s="64" t="s">
        <v>104</v>
      </c>
      <c r="C322" s="66">
        <v>0.58201000000000003</v>
      </c>
      <c r="D322" s="66">
        <f t="shared" si="22"/>
        <v>9.3121600000000001E-14</v>
      </c>
      <c r="E322" s="66">
        <v>8.8599999999999998E-3</v>
      </c>
      <c r="F322" s="66">
        <f>_xlfn.IFNA(INDEX('hp (pSv cm2)'!$B$2:$B$52,MATCH($C322,'hp (pSv cm2)'!$A$2:$A$52,1))+($C322-INDEX('hp (pSv cm2)'!$A$2:$A$52,MATCH($C322,'hp (pSv cm2)'!$A$2:$A$52,1)))*(INDEX('hp (pSv cm2)'!$B$2:$B$52,MATCH($C322,'hp (pSv cm2)'!$A$2:$A$52,1)+1)-INDEX('hp (pSv cm2)'!$B$2:$B$52,MATCH($C322,'hp (pSv cm2)'!$A$2:$A$52,1)))/(INDEX('hp (pSv cm2)'!$A$2:$A$52,MATCH($C322,'hp (pSv cm2)'!$A$2:$A$52,1)+1)-INDEX('hp (pSv cm2)'!$A$2:$A$52,MATCH($C322,'hp (pSv cm2)'!$A$2:$A$52,1))),$C322*'hp (pSv cm2)'!$B$2/'hp (pSv cm2)'!$A$2)</f>
        <v>2.8308440000000004</v>
      </c>
      <c r="G322" s="67">
        <f t="shared" si="23"/>
        <v>2.5081277840000003E-2</v>
      </c>
      <c r="H322" s="83">
        <f>_xlfn.IFNA(0.997*(INDEX('Mass attenuation coefficients'!$B$2:$B$37,MATCH($C322,'Mass attenuation coefficients'!$A$2:$A$37,1))+($C322-INDEX('Mass attenuation coefficients'!$A$2:$A$37,MATCH($C322,'Mass attenuation coefficients'!$A$2:$A$37,1)))*(INDEX('Mass attenuation coefficients'!$B$2:$B$37,MATCH($C322,'Mass attenuation coefficients'!$A$2:$A$37,1)+1)-INDEX('Mass attenuation coefficients'!$B$2:$B$37,MATCH($C322,'Mass attenuation coefficients'!$A$2:$A$37,1)))/(INDEX('Mass attenuation coefficients'!$A$2:$A$37,MATCH($C322,'Mass attenuation coefficients'!$A$2:$A$37,1)+1)-INDEX('Mass attenuation coefficients'!$A$2:$A$37,MATCH($C322,'Mass attenuation coefficients'!$A$2:$A$37,1)))),0.997*$C322*'Mass attenuation coefficients'!$B$2/'Mass attenuation coefficients'!$A$2)</f>
        <v>9.0602443793000004E-2</v>
      </c>
      <c r="I322" s="83">
        <f>_xlfn.IFNA(INDEX('Shultis Faw'!$C$2:$C$26,MATCH($C322,'Shultis Faw'!$A$2:$A$26,1))+($C322-INDEX('Shultis Faw'!$A$2:$A$26,MATCH($C322,'Shultis Faw'!$A$2:$A$26,1)))*(INDEX('Shultis Faw'!$C$2:$C$26,MATCH($C322,'Shultis Faw'!$A$2:$A$26,1)+1)-INDEX('Shultis Faw'!$C$2:$C$26,MATCH($C322,'Shultis Faw'!$A$2:$A$26,1)))/(INDEX('Shultis Faw'!$A$2:$A$26,MATCH($C322,'Shultis Faw'!$A$2:$A$26,1)+1)-INDEX('Shultis Faw'!$A$2:$A$26,MATCH($C322,'Shultis Faw'!$A$2:$A$26,1))),$C322*'Shultis Faw'!$C$2/'Shultis Faw'!$A$2)</f>
        <v>2.3991276999999998</v>
      </c>
      <c r="J322" s="83">
        <f>_xlfn.IFNA(INDEX('Shultis Faw'!$D$2:$D$26,MATCH($C322,'Shultis Faw'!$A$2:$A$26,1))+($C322-INDEX('Shultis Faw'!$A$2:$A$26,MATCH($C322,'Shultis Faw'!$A$2:$A$26,1)))*(INDEX('Shultis Faw'!$D$2:$D$26,MATCH($C322,'Shultis Faw'!$A$2:$A$26,1)+1)-INDEX('Shultis Faw'!$D$2:$D$26,MATCH($C322,'Shultis Faw'!$A$2:$A$26,1)))/(INDEX('Shultis Faw'!$A$2:$A$26,MATCH($C322,'Shultis Faw'!$A$2:$A$26,1)+1)-INDEX('Shultis Faw'!$A$2:$A$26,MATCH($C322,'Shultis Faw'!$A$2:$A$26,1))),$C322*'Shultis Faw'!$D$2/'Shultis Faw'!$A$2)</f>
        <v>1.6946513000000001</v>
      </c>
      <c r="K322" s="83">
        <f>_xlfn.IFNA(INDEX('Shultis Faw'!$B$2:$B$26,MATCH($C322,'Shultis Faw'!$A$2:$A$26,1))+($C322-INDEX('Shultis Faw'!$A$2:$A$26,MATCH($C322,'Shultis Faw'!$A$2:$A$26,1)))*(INDEX('Shultis Faw'!$B$2:$B$26,MATCH($C322,'Shultis Faw'!$A$2:$A$26,1)+1)-INDEX('Shultis Faw'!$B$2:$B$26,MATCH($C322,'Shultis Faw'!$A$2:$A$26,1)))/(INDEX('Shultis Faw'!$A$2:$A$26,MATCH($C322,'Shultis Faw'!$A$2:$A$26,1)+1)-INDEX('Shultis Faw'!$A$2:$A$26,MATCH($C322,'Shultis Faw'!$A$2:$A$26,1))),$C322*'Shultis Faw'!$B$2/'Shultis Faw'!$A$2)</f>
        <v>-0.1259789</v>
      </c>
      <c r="L322" s="83">
        <f>_xlfn.IFNA(INDEX('Shultis Faw'!$E$2:$E$26,MATCH($C322,'Shultis Faw'!$A$2:$A$26,1))+($C322-INDEX('Shultis Faw'!$A$2:$A$26,MATCH($C322,'Shultis Faw'!$A$2:$A$26,1)))*(INDEX('Shultis Faw'!$E$2:$E$26,MATCH($C322,'Shultis Faw'!$A$2:$A$26,1)+1)-INDEX('Shultis Faw'!$E$2:$E$26,MATCH($C322,'Shultis Faw'!$A$2:$A$26,1)))/(INDEX('Shultis Faw'!$A$2:$A$26,MATCH($C322,'Shultis Faw'!$A$2:$A$26,1)+1)-INDEX('Shultis Faw'!$A$2:$A$26,MATCH($C322,'Shultis Faw'!$A$2:$A$26,1))),$C322*'Shultis Faw'!$E$2/'Shultis Faw'!$A$2)</f>
        <v>5.1073569999999999E-2</v>
      </c>
      <c r="M322" s="83">
        <f>_xlfn.IFNA(INDEX('Shultis Faw'!$F$2:$F$26,MATCH($C322,'Shultis Faw'!$A$2:$A$26,1))+($C322-INDEX('Shultis Faw'!$A$2:$A$26,MATCH($C322,'Shultis Faw'!$A$2:$A$26,1)))*(INDEX('Shultis Faw'!$F$2:$F$26,MATCH($C322,'Shultis Faw'!$A$2:$A$26,1)+1)-INDEX('Shultis Faw'!$F$2:$F$26,MATCH($C322,'Shultis Faw'!$A$2:$A$26,1)))/(INDEX('Shultis Faw'!$A$2:$A$26,MATCH($C322,'Shultis Faw'!$A$2:$A$26,1)+1)-INDEX('Shultis Faw'!$A$2:$A$26,MATCH($C322,'Shultis Faw'!$A$2:$A$26,1))),$C322*'Shultis Faw'!$F$2/'Shultis Faw'!$A$2)</f>
        <v>14.24799</v>
      </c>
      <c r="N322" s="83">
        <f>J322*(H322*'Externe blootstelling'!$D$23/2)^K322+L322*(TANH(((H322*'Externe blootstelling'!$D$23)/(2*M322))-2)-TANH(-2))/(1-TANH(-2))</f>
        <v>1.6305993536916923</v>
      </c>
      <c r="O322" s="83">
        <f>IF(N322=1,1+(I322-1)*H322*'Externe blootstelling'!$D$23/2,1+(I322-1)*(N322^(H322*'Externe blootstelling'!$D$23/2)-1)/(N322-1))</f>
        <v>3.0934002644479097</v>
      </c>
      <c r="P322" s="67">
        <f>G322*EXP(-H322*'Externe blootstelling'!$D$23/2)*O322</f>
        <v>1.993258646428632E-2</v>
      </c>
      <c r="Q322" s="68"/>
    </row>
    <row r="323" spans="1:17" x14ac:dyDescent="0.2">
      <c r="A323" s="217"/>
      <c r="B323" s="64" t="s">
        <v>104</v>
      </c>
      <c r="C323" s="66">
        <v>0.59175500000000003</v>
      </c>
      <c r="D323" s="66">
        <f t="shared" si="22"/>
        <v>9.4680799999999989E-14</v>
      </c>
      <c r="E323" s="66">
        <v>4.9500000000000002E-2</v>
      </c>
      <c r="F323" s="66">
        <f>_xlfn.IFNA(INDEX('hp (pSv cm2)'!$B$2:$B$52,MATCH($C323,'hp (pSv cm2)'!$A$2:$A$52,1))+($C323-INDEX('hp (pSv cm2)'!$A$2:$A$52,MATCH($C323,'hp (pSv cm2)'!$A$2:$A$52,1)))*(INDEX('hp (pSv cm2)'!$B$2:$B$52,MATCH($C323,'hp (pSv cm2)'!$A$2:$A$52,1)+1)-INDEX('hp (pSv cm2)'!$B$2:$B$52,MATCH($C323,'hp (pSv cm2)'!$A$2:$A$52,1)))/(INDEX('hp (pSv cm2)'!$A$2:$A$52,MATCH($C323,'hp (pSv cm2)'!$A$2:$A$52,1)+1)-INDEX('hp (pSv cm2)'!$A$2:$A$52,MATCH($C323,'hp (pSv cm2)'!$A$2:$A$52,1))),$C323*'hp (pSv cm2)'!$B$2/'hp (pSv cm2)'!$A$2)</f>
        <v>2.8737220000000003</v>
      </c>
      <c r="G323" s="67">
        <f t="shared" si="23"/>
        <v>0.14224923900000003</v>
      </c>
      <c r="H323" s="83">
        <f>_xlfn.IFNA(0.997*(INDEX('Mass attenuation coefficients'!$B$2:$B$37,MATCH($C323,'Mass attenuation coefficients'!$A$2:$A$37,1))+($C323-INDEX('Mass attenuation coefficients'!$A$2:$A$37,MATCH($C323,'Mass attenuation coefficients'!$A$2:$A$37,1)))*(INDEX('Mass attenuation coefficients'!$B$2:$B$37,MATCH($C323,'Mass attenuation coefficients'!$A$2:$A$37,1)+1)-INDEX('Mass attenuation coefficients'!$B$2:$B$37,MATCH($C323,'Mass attenuation coefficients'!$A$2:$A$37,1)))/(INDEX('Mass attenuation coefficients'!$A$2:$A$37,MATCH($C323,'Mass attenuation coefficients'!$A$2:$A$37,1)+1)-INDEX('Mass attenuation coefficients'!$A$2:$A$37,MATCH($C323,'Mass attenuation coefficients'!$A$2:$A$37,1)))),0.997*$C323*'Mass attenuation coefficients'!$B$2/'Mass attenuation coefficients'!$A$2)</f>
        <v>8.9892221371499992E-2</v>
      </c>
      <c r="I323" s="83">
        <f>_xlfn.IFNA(INDEX('Shultis Faw'!$C$2:$C$26,MATCH($C323,'Shultis Faw'!$A$2:$A$26,1))+($C323-INDEX('Shultis Faw'!$A$2:$A$26,MATCH($C323,'Shultis Faw'!$A$2:$A$26,1)))*(INDEX('Shultis Faw'!$C$2:$C$26,MATCH($C323,'Shultis Faw'!$A$2:$A$26,1)+1)-INDEX('Shultis Faw'!$C$2:$C$26,MATCH($C323,'Shultis Faw'!$A$2:$A$26,1)))/(INDEX('Shultis Faw'!$A$2:$A$26,MATCH($C323,'Shultis Faw'!$A$2:$A$26,1)+1)-INDEX('Shultis Faw'!$A$2:$A$26,MATCH($C323,'Shultis Faw'!$A$2:$A$26,1))),$C323*'Shultis Faw'!$C$2/'Shultis Faw'!$A$2)</f>
        <v>2.3871413499999998</v>
      </c>
      <c r="J323" s="83">
        <f>_xlfn.IFNA(INDEX('Shultis Faw'!$D$2:$D$26,MATCH($C323,'Shultis Faw'!$A$2:$A$26,1))+($C323-INDEX('Shultis Faw'!$A$2:$A$26,MATCH($C323,'Shultis Faw'!$A$2:$A$26,1)))*(INDEX('Shultis Faw'!$D$2:$D$26,MATCH($C323,'Shultis Faw'!$A$2:$A$26,1)+1)-INDEX('Shultis Faw'!$D$2:$D$26,MATCH($C323,'Shultis Faw'!$A$2:$A$26,1)))/(INDEX('Shultis Faw'!$A$2:$A$26,MATCH($C323,'Shultis Faw'!$A$2:$A$26,1)+1)-INDEX('Shultis Faw'!$A$2:$A$26,MATCH($C323,'Shultis Faw'!$A$2:$A$26,1))),$C323*'Shultis Faw'!$D$2/'Shultis Faw'!$A$2)</f>
        <v>1.6861731499999999</v>
      </c>
      <c r="K323" s="83">
        <f>_xlfn.IFNA(INDEX('Shultis Faw'!$B$2:$B$26,MATCH($C323,'Shultis Faw'!$A$2:$A$26,1))+($C323-INDEX('Shultis Faw'!$A$2:$A$26,MATCH($C323,'Shultis Faw'!$A$2:$A$26,1)))*(INDEX('Shultis Faw'!$B$2:$B$26,MATCH($C323,'Shultis Faw'!$A$2:$A$26,1)+1)-INDEX('Shultis Faw'!$B$2:$B$26,MATCH($C323,'Shultis Faw'!$A$2:$A$26,1)))/(INDEX('Shultis Faw'!$A$2:$A$26,MATCH($C323,'Shultis Faw'!$A$2:$A$26,1)+1)-INDEX('Shultis Faw'!$A$2:$A$26,MATCH($C323,'Shultis Faw'!$A$2:$A$26,1))),$C323*'Shultis Faw'!$B$2/'Shultis Faw'!$A$2)</f>
        <v>-0.12490694999999999</v>
      </c>
      <c r="L323" s="83">
        <f>_xlfn.IFNA(INDEX('Shultis Faw'!$E$2:$E$26,MATCH($C323,'Shultis Faw'!$A$2:$A$26,1))+($C323-INDEX('Shultis Faw'!$A$2:$A$26,MATCH($C323,'Shultis Faw'!$A$2:$A$26,1)))*(INDEX('Shultis Faw'!$E$2:$E$26,MATCH($C323,'Shultis Faw'!$A$2:$A$26,1)+1)-INDEX('Shultis Faw'!$E$2:$E$26,MATCH($C323,'Shultis Faw'!$A$2:$A$26,1)))/(INDEX('Shultis Faw'!$A$2:$A$26,MATCH($C323,'Shultis Faw'!$A$2:$A$26,1)+1)-INDEX('Shultis Faw'!$A$2:$A$26,MATCH($C323,'Shultis Faw'!$A$2:$A$26,1))),$C323*'Shultis Faw'!$E$2/'Shultis Faw'!$A$2)</f>
        <v>5.0654534999999994E-2</v>
      </c>
      <c r="M323" s="83">
        <f>_xlfn.IFNA(INDEX('Shultis Faw'!$F$2:$F$26,MATCH($C323,'Shultis Faw'!$A$2:$A$26,1))+($C323-INDEX('Shultis Faw'!$A$2:$A$26,MATCH($C323,'Shultis Faw'!$A$2:$A$26,1)))*(INDEX('Shultis Faw'!$F$2:$F$26,MATCH($C323,'Shultis Faw'!$A$2:$A$26,1)+1)-INDEX('Shultis Faw'!$F$2:$F$26,MATCH($C323,'Shultis Faw'!$A$2:$A$26,1)))/(INDEX('Shultis Faw'!$A$2:$A$26,MATCH($C323,'Shultis Faw'!$A$2:$A$26,1)+1)-INDEX('Shultis Faw'!$A$2:$A$26,MATCH($C323,'Shultis Faw'!$A$2:$A$26,1))),$C323*'Shultis Faw'!$F$2/'Shultis Faw'!$A$2)</f>
        <v>14.238245000000001</v>
      </c>
      <c r="N323" s="83">
        <f>J323*(H323*'Externe blootstelling'!$D$23/2)^K323+L323*(TANH(((H323*'Externe blootstelling'!$D$23)/(2*M323))-2)-TANH(-2))/(1-TANH(-2))</f>
        <v>1.6245690650367388</v>
      </c>
      <c r="O323" s="83">
        <f>IF(N323=1,1+(I323-1)*H323*'Externe blootstelling'!$D$23/2,1+(I323-1)*(N323^(H323*'Externe blootstelling'!$D$23/2)-1)/(N323-1))</f>
        <v>3.0516804529600488</v>
      </c>
      <c r="P323" s="67">
        <f>G323*EXP(-H323*'Externe blootstelling'!$D$23/2)*O323</f>
        <v>0.11271807725763547</v>
      </c>
      <c r="Q323" s="68"/>
    </row>
    <row r="324" spans="1:17" x14ac:dyDescent="0.2">
      <c r="A324" s="217"/>
      <c r="B324" s="64" t="s">
        <v>104</v>
      </c>
      <c r="C324" s="66">
        <v>0.59750000000000003</v>
      </c>
      <c r="D324" s="66">
        <f t="shared" si="22"/>
        <v>9.5599999999999991E-14</v>
      </c>
      <c r="E324" s="66">
        <v>5.4999999999999995E-5</v>
      </c>
      <c r="F324" s="66">
        <f>_xlfn.IFNA(INDEX('hp (pSv cm2)'!$B$2:$B$52,MATCH($C324,'hp (pSv cm2)'!$A$2:$A$52,1))+($C324-INDEX('hp (pSv cm2)'!$A$2:$A$52,MATCH($C324,'hp (pSv cm2)'!$A$2:$A$52,1)))*(INDEX('hp (pSv cm2)'!$B$2:$B$52,MATCH($C324,'hp (pSv cm2)'!$A$2:$A$52,1)+1)-INDEX('hp (pSv cm2)'!$B$2:$B$52,MATCH($C324,'hp (pSv cm2)'!$A$2:$A$52,1)))/(INDEX('hp (pSv cm2)'!$A$2:$A$52,MATCH($C324,'hp (pSv cm2)'!$A$2:$A$52,1)+1)-INDEX('hp (pSv cm2)'!$A$2:$A$52,MATCH($C324,'hp (pSv cm2)'!$A$2:$A$52,1))),$C324*'hp (pSv cm2)'!$B$2/'hp (pSv cm2)'!$A$2)</f>
        <v>2.8990000000000005</v>
      </c>
      <c r="G324" s="67">
        <f t="shared" si="23"/>
        <v>1.59445E-4</v>
      </c>
      <c r="H324" s="83">
        <f>_xlfn.IFNA(0.997*(INDEX('Mass attenuation coefficients'!$B$2:$B$37,MATCH($C324,'Mass attenuation coefficients'!$A$2:$A$37,1))+($C324-INDEX('Mass attenuation coefficients'!$A$2:$A$37,MATCH($C324,'Mass attenuation coefficients'!$A$2:$A$37,1)))*(INDEX('Mass attenuation coefficients'!$B$2:$B$37,MATCH($C324,'Mass attenuation coefficients'!$A$2:$A$37,1)+1)-INDEX('Mass attenuation coefficients'!$B$2:$B$37,MATCH($C324,'Mass attenuation coefficients'!$A$2:$A$37,1)))/(INDEX('Mass attenuation coefficients'!$A$2:$A$37,MATCH($C324,'Mass attenuation coefficients'!$A$2:$A$37,1)+1)-INDEX('Mass attenuation coefficients'!$A$2:$A$37,MATCH($C324,'Mass attenuation coefficients'!$A$2:$A$37,1)))),0.997*$C324*'Mass attenuation coefficients'!$B$2/'Mass attenuation coefficients'!$A$2)</f>
        <v>8.9473521749999993E-2</v>
      </c>
      <c r="I324" s="83">
        <f>_xlfn.IFNA(INDEX('Shultis Faw'!$C$2:$C$26,MATCH($C324,'Shultis Faw'!$A$2:$A$26,1))+($C324-INDEX('Shultis Faw'!$A$2:$A$26,MATCH($C324,'Shultis Faw'!$A$2:$A$26,1)))*(INDEX('Shultis Faw'!$C$2:$C$26,MATCH($C324,'Shultis Faw'!$A$2:$A$26,1)+1)-INDEX('Shultis Faw'!$C$2:$C$26,MATCH($C324,'Shultis Faw'!$A$2:$A$26,1)))/(INDEX('Shultis Faw'!$A$2:$A$26,MATCH($C324,'Shultis Faw'!$A$2:$A$26,1)+1)-INDEX('Shultis Faw'!$A$2:$A$26,MATCH($C324,'Shultis Faw'!$A$2:$A$26,1))),$C324*'Shultis Faw'!$C$2/'Shultis Faw'!$A$2)</f>
        <v>2.3800749999999997</v>
      </c>
      <c r="J324" s="83">
        <f>_xlfn.IFNA(INDEX('Shultis Faw'!$D$2:$D$26,MATCH($C324,'Shultis Faw'!$A$2:$A$26,1))+($C324-INDEX('Shultis Faw'!$A$2:$A$26,MATCH($C324,'Shultis Faw'!$A$2:$A$26,1)))*(INDEX('Shultis Faw'!$D$2:$D$26,MATCH($C324,'Shultis Faw'!$A$2:$A$26,1)+1)-INDEX('Shultis Faw'!$D$2:$D$26,MATCH($C324,'Shultis Faw'!$A$2:$A$26,1)))/(INDEX('Shultis Faw'!$A$2:$A$26,MATCH($C324,'Shultis Faw'!$A$2:$A$26,1)+1)-INDEX('Shultis Faw'!$A$2:$A$26,MATCH($C324,'Shultis Faw'!$A$2:$A$26,1))),$C324*'Shultis Faw'!$D$2/'Shultis Faw'!$A$2)</f>
        <v>1.6811750000000001</v>
      </c>
      <c r="K324" s="83">
        <f>_xlfn.IFNA(INDEX('Shultis Faw'!$B$2:$B$26,MATCH($C324,'Shultis Faw'!$A$2:$A$26,1))+($C324-INDEX('Shultis Faw'!$A$2:$A$26,MATCH($C324,'Shultis Faw'!$A$2:$A$26,1)))*(INDEX('Shultis Faw'!$B$2:$B$26,MATCH($C324,'Shultis Faw'!$A$2:$A$26,1)+1)-INDEX('Shultis Faw'!$B$2:$B$26,MATCH($C324,'Shultis Faw'!$A$2:$A$26,1)))/(INDEX('Shultis Faw'!$A$2:$A$26,MATCH($C324,'Shultis Faw'!$A$2:$A$26,1)+1)-INDEX('Shultis Faw'!$A$2:$A$26,MATCH($C324,'Shultis Faw'!$A$2:$A$26,1))),$C324*'Shultis Faw'!$B$2/'Shultis Faw'!$A$2)</f>
        <v>-0.124275</v>
      </c>
      <c r="L324" s="83">
        <f>_xlfn.IFNA(INDEX('Shultis Faw'!$E$2:$E$26,MATCH($C324,'Shultis Faw'!$A$2:$A$26,1))+($C324-INDEX('Shultis Faw'!$A$2:$A$26,MATCH($C324,'Shultis Faw'!$A$2:$A$26,1)))*(INDEX('Shultis Faw'!$E$2:$E$26,MATCH($C324,'Shultis Faw'!$A$2:$A$26,1)+1)-INDEX('Shultis Faw'!$E$2:$E$26,MATCH($C324,'Shultis Faw'!$A$2:$A$26,1)))/(INDEX('Shultis Faw'!$A$2:$A$26,MATCH($C324,'Shultis Faw'!$A$2:$A$26,1)+1)-INDEX('Shultis Faw'!$A$2:$A$26,MATCH($C324,'Shultis Faw'!$A$2:$A$26,1))),$C324*'Shultis Faw'!$E$2/'Shultis Faw'!$A$2)</f>
        <v>5.0407499999999994E-2</v>
      </c>
      <c r="M324" s="83">
        <f>_xlfn.IFNA(INDEX('Shultis Faw'!$F$2:$F$26,MATCH($C324,'Shultis Faw'!$A$2:$A$26,1))+($C324-INDEX('Shultis Faw'!$A$2:$A$26,MATCH($C324,'Shultis Faw'!$A$2:$A$26,1)))*(INDEX('Shultis Faw'!$F$2:$F$26,MATCH($C324,'Shultis Faw'!$A$2:$A$26,1)+1)-INDEX('Shultis Faw'!$F$2:$F$26,MATCH($C324,'Shultis Faw'!$A$2:$A$26,1)))/(INDEX('Shultis Faw'!$A$2:$A$26,MATCH($C324,'Shultis Faw'!$A$2:$A$26,1)+1)-INDEX('Shultis Faw'!$A$2:$A$26,MATCH($C324,'Shultis Faw'!$A$2:$A$26,1))),$C324*'Shultis Faw'!$F$2/'Shultis Faw'!$A$2)</f>
        <v>14.2325</v>
      </c>
      <c r="N324" s="83">
        <f>J324*(H324*'Externe blootstelling'!$D$23/2)^K324+L324*(TANH(((H324*'Externe blootstelling'!$D$23)/(2*M324))-2)-TANH(-2))/(1-TANH(-2))</f>
        <v>1.6209983596003272</v>
      </c>
      <c r="O324" s="83">
        <f>IF(N324=1,1+(I324-1)*H324*'Externe blootstelling'!$D$23/2,1+(I324-1)*(N324^(H324*'Externe blootstelling'!$D$23/2)-1)/(N324-1))</f>
        <v>3.0273878308895554</v>
      </c>
      <c r="P324" s="67">
        <f>G324*EXP(-H324*'Externe blootstelling'!$D$23/2)*O324</f>
        <v>1.261278852595701E-4</v>
      </c>
      <c r="Q324" s="68"/>
    </row>
    <row r="325" spans="1:17" x14ac:dyDescent="0.2">
      <c r="A325" s="217"/>
      <c r="B325" s="64" t="s">
        <v>104</v>
      </c>
      <c r="C325" s="66">
        <v>0.59829999999999994</v>
      </c>
      <c r="D325" s="66">
        <f t="shared" si="22"/>
        <v>9.5727999999999994E-14</v>
      </c>
      <c r="E325" s="66">
        <v>6.2000000000000003E-5</v>
      </c>
      <c r="F325" s="66">
        <f>_xlfn.IFNA(INDEX('hp (pSv cm2)'!$B$2:$B$52,MATCH($C325,'hp (pSv cm2)'!$A$2:$A$52,1))+($C325-INDEX('hp (pSv cm2)'!$A$2:$A$52,MATCH($C325,'hp (pSv cm2)'!$A$2:$A$52,1)))*(INDEX('hp (pSv cm2)'!$B$2:$B$52,MATCH($C325,'hp (pSv cm2)'!$A$2:$A$52,1)+1)-INDEX('hp (pSv cm2)'!$B$2:$B$52,MATCH($C325,'hp (pSv cm2)'!$A$2:$A$52,1)))/(INDEX('hp (pSv cm2)'!$A$2:$A$52,MATCH($C325,'hp (pSv cm2)'!$A$2:$A$52,1)+1)-INDEX('hp (pSv cm2)'!$A$2:$A$52,MATCH($C325,'hp (pSv cm2)'!$A$2:$A$52,1))),$C325*'hp (pSv cm2)'!$B$2/'hp (pSv cm2)'!$A$2)</f>
        <v>2.90252</v>
      </c>
      <c r="G325" s="67">
        <f t="shared" si="23"/>
        <v>1.7995624000000001E-4</v>
      </c>
      <c r="H325" s="83">
        <f>_xlfn.IFNA(0.997*(INDEX('Mass attenuation coefficients'!$B$2:$B$37,MATCH($C325,'Mass attenuation coefficients'!$A$2:$A$37,1))+($C325-INDEX('Mass attenuation coefficients'!$A$2:$A$37,MATCH($C325,'Mass attenuation coefficients'!$A$2:$A$37,1)))*(INDEX('Mass attenuation coefficients'!$B$2:$B$37,MATCH($C325,'Mass attenuation coefficients'!$A$2:$A$37,1)+1)-INDEX('Mass attenuation coefficients'!$B$2:$B$37,MATCH($C325,'Mass attenuation coefficients'!$A$2:$A$37,1)))/(INDEX('Mass attenuation coefficients'!$A$2:$A$37,MATCH($C325,'Mass attenuation coefficients'!$A$2:$A$37,1)+1)-INDEX('Mass attenuation coefficients'!$A$2:$A$37,MATCH($C325,'Mass attenuation coefficients'!$A$2:$A$37,1)))),0.997*$C325*'Mass attenuation coefficients'!$B$2/'Mass attenuation coefficients'!$A$2)</f>
        <v>8.9415217190000007E-2</v>
      </c>
      <c r="I325" s="83">
        <f>_xlfn.IFNA(INDEX('Shultis Faw'!$C$2:$C$26,MATCH($C325,'Shultis Faw'!$A$2:$A$26,1))+($C325-INDEX('Shultis Faw'!$A$2:$A$26,MATCH($C325,'Shultis Faw'!$A$2:$A$26,1)))*(INDEX('Shultis Faw'!$C$2:$C$26,MATCH($C325,'Shultis Faw'!$A$2:$A$26,1)+1)-INDEX('Shultis Faw'!$C$2:$C$26,MATCH($C325,'Shultis Faw'!$A$2:$A$26,1)))/(INDEX('Shultis Faw'!$A$2:$A$26,MATCH($C325,'Shultis Faw'!$A$2:$A$26,1)+1)-INDEX('Shultis Faw'!$A$2:$A$26,MATCH($C325,'Shultis Faw'!$A$2:$A$26,1))),$C325*'Shultis Faw'!$C$2/'Shultis Faw'!$A$2)</f>
        <v>2.3790909999999998</v>
      </c>
      <c r="J325" s="83">
        <f>_xlfn.IFNA(INDEX('Shultis Faw'!$D$2:$D$26,MATCH($C325,'Shultis Faw'!$A$2:$A$26,1))+($C325-INDEX('Shultis Faw'!$A$2:$A$26,MATCH($C325,'Shultis Faw'!$A$2:$A$26,1)))*(INDEX('Shultis Faw'!$D$2:$D$26,MATCH($C325,'Shultis Faw'!$A$2:$A$26,1)+1)-INDEX('Shultis Faw'!$D$2:$D$26,MATCH($C325,'Shultis Faw'!$A$2:$A$26,1)))/(INDEX('Shultis Faw'!$A$2:$A$26,MATCH($C325,'Shultis Faw'!$A$2:$A$26,1)+1)-INDEX('Shultis Faw'!$A$2:$A$26,MATCH($C325,'Shultis Faw'!$A$2:$A$26,1))),$C325*'Shultis Faw'!$D$2/'Shultis Faw'!$A$2)</f>
        <v>1.6804790000000001</v>
      </c>
      <c r="K325" s="83">
        <f>_xlfn.IFNA(INDEX('Shultis Faw'!$B$2:$B$26,MATCH($C325,'Shultis Faw'!$A$2:$A$26,1))+($C325-INDEX('Shultis Faw'!$A$2:$A$26,MATCH($C325,'Shultis Faw'!$A$2:$A$26,1)))*(INDEX('Shultis Faw'!$B$2:$B$26,MATCH($C325,'Shultis Faw'!$A$2:$A$26,1)+1)-INDEX('Shultis Faw'!$B$2:$B$26,MATCH($C325,'Shultis Faw'!$A$2:$A$26,1)))/(INDEX('Shultis Faw'!$A$2:$A$26,MATCH($C325,'Shultis Faw'!$A$2:$A$26,1)+1)-INDEX('Shultis Faw'!$A$2:$A$26,MATCH($C325,'Shultis Faw'!$A$2:$A$26,1))),$C325*'Shultis Faw'!$B$2/'Shultis Faw'!$A$2)</f>
        <v>-0.12418700000000001</v>
      </c>
      <c r="L325" s="83">
        <f>_xlfn.IFNA(INDEX('Shultis Faw'!$E$2:$E$26,MATCH($C325,'Shultis Faw'!$A$2:$A$26,1))+($C325-INDEX('Shultis Faw'!$A$2:$A$26,MATCH($C325,'Shultis Faw'!$A$2:$A$26,1)))*(INDEX('Shultis Faw'!$E$2:$E$26,MATCH($C325,'Shultis Faw'!$A$2:$A$26,1)+1)-INDEX('Shultis Faw'!$E$2:$E$26,MATCH($C325,'Shultis Faw'!$A$2:$A$26,1)))/(INDEX('Shultis Faw'!$A$2:$A$26,MATCH($C325,'Shultis Faw'!$A$2:$A$26,1)+1)-INDEX('Shultis Faw'!$A$2:$A$26,MATCH($C325,'Shultis Faw'!$A$2:$A$26,1))),$C325*'Shultis Faw'!$E$2/'Shultis Faw'!$A$2)</f>
        <v>5.0373099999999997E-2</v>
      </c>
      <c r="M325" s="83">
        <f>_xlfn.IFNA(INDEX('Shultis Faw'!$F$2:$F$26,MATCH($C325,'Shultis Faw'!$A$2:$A$26,1))+($C325-INDEX('Shultis Faw'!$A$2:$A$26,MATCH($C325,'Shultis Faw'!$A$2:$A$26,1)))*(INDEX('Shultis Faw'!$F$2:$F$26,MATCH($C325,'Shultis Faw'!$A$2:$A$26,1)+1)-INDEX('Shultis Faw'!$F$2:$F$26,MATCH($C325,'Shultis Faw'!$A$2:$A$26,1)))/(INDEX('Shultis Faw'!$A$2:$A$26,MATCH($C325,'Shultis Faw'!$A$2:$A$26,1)+1)-INDEX('Shultis Faw'!$A$2:$A$26,MATCH($C325,'Shultis Faw'!$A$2:$A$26,1))),$C325*'Shultis Faw'!$F$2/'Shultis Faw'!$A$2)</f>
        <v>14.2317</v>
      </c>
      <c r="N325" s="83">
        <f>J325*(H325*'Externe blootstelling'!$D$23/2)^K325+L325*(TANH(((H325*'Externe blootstelling'!$D$23)/(2*M325))-2)-TANH(-2))/(1-TANH(-2))</f>
        <v>1.6205002125980053</v>
      </c>
      <c r="O325" s="83">
        <f>IF(N325=1,1+(I325-1)*H325*'Externe blootstelling'!$D$23/2,1+(I325-1)*(N325^(H325*'Externe blootstelling'!$D$23/2)-1)/(N325-1))</f>
        <v>3.0240227103446258</v>
      </c>
      <c r="P325" s="67">
        <f>G325*EXP(-H325*'Externe blootstelling'!$D$23/2)*O325</f>
        <v>1.4231934210439398E-4</v>
      </c>
      <c r="Q325" s="68"/>
    </row>
    <row r="326" spans="1:17" x14ac:dyDescent="0.2">
      <c r="A326" s="217"/>
      <c r="B326" s="64" t="s">
        <v>104</v>
      </c>
      <c r="C326" s="66">
        <v>0.6</v>
      </c>
      <c r="D326" s="66">
        <f t="shared" si="22"/>
        <v>9.5999999999999995E-14</v>
      </c>
      <c r="E326" s="66">
        <v>6.0000000000000002E-5</v>
      </c>
      <c r="F326" s="66">
        <f>_xlfn.IFNA(INDEX('hp (pSv cm2)'!$B$2:$B$52,MATCH($C326,'hp (pSv cm2)'!$A$2:$A$52,1))+($C326-INDEX('hp (pSv cm2)'!$A$2:$A$52,MATCH($C326,'hp (pSv cm2)'!$A$2:$A$52,1)))*(INDEX('hp (pSv cm2)'!$B$2:$B$52,MATCH($C326,'hp (pSv cm2)'!$A$2:$A$52,1)+1)-INDEX('hp (pSv cm2)'!$B$2:$B$52,MATCH($C326,'hp (pSv cm2)'!$A$2:$A$52,1)))/(INDEX('hp (pSv cm2)'!$A$2:$A$52,MATCH($C326,'hp (pSv cm2)'!$A$2:$A$52,1)+1)-INDEX('hp (pSv cm2)'!$A$2:$A$52,MATCH($C326,'hp (pSv cm2)'!$A$2:$A$52,1))),$C326*'hp (pSv cm2)'!$B$2/'hp (pSv cm2)'!$A$2)</f>
        <v>2.91</v>
      </c>
      <c r="G326" s="67">
        <f t="shared" si="23"/>
        <v>1.7460000000000002E-4</v>
      </c>
      <c r="H326" s="83">
        <f>_xlfn.IFNA(0.997*(INDEX('Mass attenuation coefficients'!$B$2:$B$37,MATCH($C326,'Mass attenuation coefficients'!$A$2:$A$37,1))+($C326-INDEX('Mass attenuation coefficients'!$A$2:$A$37,MATCH($C326,'Mass attenuation coefficients'!$A$2:$A$37,1)))*(INDEX('Mass attenuation coefficients'!$B$2:$B$37,MATCH($C326,'Mass attenuation coefficients'!$A$2:$A$37,1)+1)-INDEX('Mass attenuation coefficients'!$B$2:$B$37,MATCH($C326,'Mass attenuation coefficients'!$A$2:$A$37,1)))/(INDEX('Mass attenuation coefficients'!$A$2:$A$37,MATCH($C326,'Mass attenuation coefficients'!$A$2:$A$37,1)+1)-INDEX('Mass attenuation coefficients'!$A$2:$A$37,MATCH($C326,'Mass attenuation coefficients'!$A$2:$A$37,1)))),0.997*$C326*'Mass attenuation coefficients'!$B$2/'Mass attenuation coefficients'!$A$2)</f>
        <v>8.9291320000000007E-2</v>
      </c>
      <c r="I326" s="83">
        <f>_xlfn.IFNA(INDEX('Shultis Faw'!$C$2:$C$26,MATCH($C326,'Shultis Faw'!$A$2:$A$26,1))+($C326-INDEX('Shultis Faw'!$A$2:$A$26,MATCH($C326,'Shultis Faw'!$A$2:$A$26,1)))*(INDEX('Shultis Faw'!$C$2:$C$26,MATCH($C326,'Shultis Faw'!$A$2:$A$26,1)+1)-INDEX('Shultis Faw'!$C$2:$C$26,MATCH($C326,'Shultis Faw'!$A$2:$A$26,1)))/(INDEX('Shultis Faw'!$A$2:$A$26,MATCH($C326,'Shultis Faw'!$A$2:$A$26,1)+1)-INDEX('Shultis Faw'!$A$2:$A$26,MATCH($C326,'Shultis Faw'!$A$2:$A$26,1))),$C326*'Shultis Faw'!$C$2/'Shultis Faw'!$A$2)</f>
        <v>2.3769999999999998</v>
      </c>
      <c r="J326" s="83">
        <f>_xlfn.IFNA(INDEX('Shultis Faw'!$D$2:$D$26,MATCH($C326,'Shultis Faw'!$A$2:$A$26,1))+($C326-INDEX('Shultis Faw'!$A$2:$A$26,MATCH($C326,'Shultis Faw'!$A$2:$A$26,1)))*(INDEX('Shultis Faw'!$D$2:$D$26,MATCH($C326,'Shultis Faw'!$A$2:$A$26,1)+1)-INDEX('Shultis Faw'!$D$2:$D$26,MATCH($C326,'Shultis Faw'!$A$2:$A$26,1)))/(INDEX('Shultis Faw'!$A$2:$A$26,MATCH($C326,'Shultis Faw'!$A$2:$A$26,1)+1)-INDEX('Shultis Faw'!$A$2:$A$26,MATCH($C326,'Shultis Faw'!$A$2:$A$26,1))),$C326*'Shultis Faw'!$D$2/'Shultis Faw'!$A$2)</f>
        <v>1.679</v>
      </c>
      <c r="K326" s="83">
        <f>_xlfn.IFNA(INDEX('Shultis Faw'!$B$2:$B$26,MATCH($C326,'Shultis Faw'!$A$2:$A$26,1))+($C326-INDEX('Shultis Faw'!$A$2:$A$26,MATCH($C326,'Shultis Faw'!$A$2:$A$26,1)))*(INDEX('Shultis Faw'!$B$2:$B$26,MATCH($C326,'Shultis Faw'!$A$2:$A$26,1)+1)-INDEX('Shultis Faw'!$B$2:$B$26,MATCH($C326,'Shultis Faw'!$A$2:$A$26,1)))/(INDEX('Shultis Faw'!$A$2:$A$26,MATCH($C326,'Shultis Faw'!$A$2:$A$26,1)+1)-INDEX('Shultis Faw'!$A$2:$A$26,MATCH($C326,'Shultis Faw'!$A$2:$A$26,1))),$C326*'Shultis Faw'!$B$2/'Shultis Faw'!$A$2)</f>
        <v>-0.124</v>
      </c>
      <c r="L326" s="83">
        <f>_xlfn.IFNA(INDEX('Shultis Faw'!$E$2:$E$26,MATCH($C326,'Shultis Faw'!$A$2:$A$26,1))+($C326-INDEX('Shultis Faw'!$A$2:$A$26,MATCH($C326,'Shultis Faw'!$A$2:$A$26,1)))*(INDEX('Shultis Faw'!$E$2:$E$26,MATCH($C326,'Shultis Faw'!$A$2:$A$26,1)+1)-INDEX('Shultis Faw'!$E$2:$E$26,MATCH($C326,'Shultis Faw'!$A$2:$A$26,1)))/(INDEX('Shultis Faw'!$A$2:$A$26,MATCH($C326,'Shultis Faw'!$A$2:$A$26,1)+1)-INDEX('Shultis Faw'!$A$2:$A$26,MATCH($C326,'Shultis Faw'!$A$2:$A$26,1))),$C326*'Shultis Faw'!$E$2/'Shultis Faw'!$A$2)</f>
        <v>5.0299999999999997E-2</v>
      </c>
      <c r="M326" s="83">
        <f>_xlfn.IFNA(INDEX('Shultis Faw'!$F$2:$F$26,MATCH($C326,'Shultis Faw'!$A$2:$A$26,1))+($C326-INDEX('Shultis Faw'!$A$2:$A$26,MATCH($C326,'Shultis Faw'!$A$2:$A$26,1)))*(INDEX('Shultis Faw'!$F$2:$F$26,MATCH($C326,'Shultis Faw'!$A$2:$A$26,1)+1)-INDEX('Shultis Faw'!$F$2:$F$26,MATCH($C326,'Shultis Faw'!$A$2:$A$26,1)))/(INDEX('Shultis Faw'!$A$2:$A$26,MATCH($C326,'Shultis Faw'!$A$2:$A$26,1)+1)-INDEX('Shultis Faw'!$A$2:$A$26,MATCH($C326,'Shultis Faw'!$A$2:$A$26,1))),$C326*'Shultis Faw'!$F$2/'Shultis Faw'!$A$2)</f>
        <v>14.23</v>
      </c>
      <c r="N326" s="83">
        <f>J326*(H326*'Externe blootstelling'!$D$23/2)^K326+L326*(TANH(((H326*'Externe blootstelling'!$D$23)/(2*M326))-2)-TANH(-2))/(1-TANH(-2))</f>
        <v>1.6194409028031289</v>
      </c>
      <c r="O326" s="83">
        <f>IF(N326=1,1+(I326-1)*H326*'Externe blootstelling'!$D$23/2,1+(I326-1)*(N326^(H326*'Externe blootstelling'!$D$23/2)-1)/(N326-1))</f>
        <v>3.0168861099319026</v>
      </c>
      <c r="P326" s="67">
        <f>G326*EXP(-H326*'Externe blootstelling'!$D$23/2)*O326</f>
        <v>1.3801371350261545E-4</v>
      </c>
      <c r="Q326" s="68"/>
    </row>
    <row r="327" spans="1:17" x14ac:dyDescent="0.2">
      <c r="A327" s="217"/>
      <c r="B327" s="64" t="s">
        <v>104</v>
      </c>
      <c r="C327" s="66">
        <v>0.60280999999999996</v>
      </c>
      <c r="D327" s="66">
        <f t="shared" si="22"/>
        <v>9.6449599999999992E-14</v>
      </c>
      <c r="E327" s="66">
        <v>3.3000000000000003E-5</v>
      </c>
      <c r="F327" s="66">
        <f>_xlfn.IFNA(INDEX('hp (pSv cm2)'!$B$2:$B$52,MATCH($C327,'hp (pSv cm2)'!$A$2:$A$52,1))+($C327-INDEX('hp (pSv cm2)'!$A$2:$A$52,MATCH($C327,'hp (pSv cm2)'!$A$2:$A$52,1)))*(INDEX('hp (pSv cm2)'!$B$2:$B$52,MATCH($C327,'hp (pSv cm2)'!$A$2:$A$52,1)+1)-INDEX('hp (pSv cm2)'!$B$2:$B$52,MATCH($C327,'hp (pSv cm2)'!$A$2:$A$52,1)))/(INDEX('hp (pSv cm2)'!$A$2:$A$52,MATCH($C327,'hp (pSv cm2)'!$A$2:$A$52,1)+1)-INDEX('hp (pSv cm2)'!$A$2:$A$52,MATCH($C327,'hp (pSv cm2)'!$A$2:$A$52,1))),$C327*'hp (pSv cm2)'!$B$2/'hp (pSv cm2)'!$A$2)</f>
        <v>2.9215210000000003</v>
      </c>
      <c r="G327" s="67">
        <f t="shared" si="23"/>
        <v>9.6410193000000022E-5</v>
      </c>
      <c r="H327" s="83">
        <f>_xlfn.IFNA(0.997*(INDEX('Mass attenuation coefficients'!$B$2:$B$37,MATCH($C327,'Mass attenuation coefficients'!$A$2:$A$37,1))+($C327-INDEX('Mass attenuation coefficients'!$A$2:$A$37,MATCH($C327,'Mass attenuation coefficients'!$A$2:$A$37,1)))*(INDEX('Mass attenuation coefficients'!$B$2:$B$37,MATCH($C327,'Mass attenuation coefficients'!$A$2:$A$37,1)+1)-INDEX('Mass attenuation coefficients'!$B$2:$B$37,MATCH($C327,'Mass attenuation coefficients'!$A$2:$A$37,1)))/(INDEX('Mass attenuation coefficients'!$A$2:$A$37,MATCH($C327,'Mass attenuation coefficients'!$A$2:$A$37,1)+1)-INDEX('Mass attenuation coefficients'!$A$2:$A$37,MATCH($C327,'Mass attenuation coefficients'!$A$2:$A$37,1)))),0.997*$C327*'Mass attenuation coefficients'!$B$2/'Mass attenuation coefficients'!$A$2)</f>
        <v>8.9138494356499995E-2</v>
      </c>
      <c r="I327" s="83">
        <f>_xlfn.IFNA(INDEX('Shultis Faw'!$C$2:$C$26,MATCH($C327,'Shultis Faw'!$A$2:$A$26,1))+($C327-INDEX('Shultis Faw'!$A$2:$A$26,MATCH($C327,'Shultis Faw'!$A$2:$A$26,1)))*(INDEX('Shultis Faw'!$C$2:$C$26,MATCH($C327,'Shultis Faw'!$A$2:$A$26,1)+1)-INDEX('Shultis Faw'!$C$2:$C$26,MATCH($C327,'Shultis Faw'!$A$2:$A$26,1)))/(INDEX('Shultis Faw'!$A$2:$A$26,MATCH($C327,'Shultis Faw'!$A$2:$A$26,1)+1)-INDEX('Shultis Faw'!$A$2:$A$26,MATCH($C327,'Shultis Faw'!$A$2:$A$26,1))),$C327*'Shultis Faw'!$C$2/'Shultis Faw'!$A$2)</f>
        <v>2.3746817499999997</v>
      </c>
      <c r="J327" s="83">
        <f>_xlfn.IFNA(INDEX('Shultis Faw'!$D$2:$D$26,MATCH($C327,'Shultis Faw'!$A$2:$A$26,1))+($C327-INDEX('Shultis Faw'!$A$2:$A$26,MATCH($C327,'Shultis Faw'!$A$2:$A$26,1)))*(INDEX('Shultis Faw'!$D$2:$D$26,MATCH($C327,'Shultis Faw'!$A$2:$A$26,1)+1)-INDEX('Shultis Faw'!$D$2:$D$26,MATCH($C327,'Shultis Faw'!$A$2:$A$26,1)))/(INDEX('Shultis Faw'!$A$2:$A$26,MATCH($C327,'Shultis Faw'!$A$2:$A$26,1)+1)-INDEX('Shultis Faw'!$A$2:$A$26,MATCH($C327,'Shultis Faw'!$A$2:$A$26,1))),$C327*'Shultis Faw'!$D$2/'Shultis Faw'!$A$2)</f>
        <v>1.67710325</v>
      </c>
      <c r="K327" s="83">
        <f>_xlfn.IFNA(INDEX('Shultis Faw'!$B$2:$B$26,MATCH($C327,'Shultis Faw'!$A$2:$A$26,1))+($C327-INDEX('Shultis Faw'!$A$2:$A$26,MATCH($C327,'Shultis Faw'!$A$2:$A$26,1)))*(INDEX('Shultis Faw'!$B$2:$B$26,MATCH($C327,'Shultis Faw'!$A$2:$A$26,1)+1)-INDEX('Shultis Faw'!$B$2:$B$26,MATCH($C327,'Shultis Faw'!$A$2:$A$26,1)))/(INDEX('Shultis Faw'!$A$2:$A$26,MATCH($C327,'Shultis Faw'!$A$2:$A$26,1)+1)-INDEX('Shultis Faw'!$A$2:$A$26,MATCH($C327,'Shultis Faw'!$A$2:$A$26,1))),$C327*'Shultis Faw'!$B$2/'Shultis Faw'!$A$2)</f>
        <v>-0.12373305</v>
      </c>
      <c r="L327" s="83">
        <f>_xlfn.IFNA(INDEX('Shultis Faw'!$E$2:$E$26,MATCH($C327,'Shultis Faw'!$A$2:$A$26,1))+($C327-INDEX('Shultis Faw'!$A$2:$A$26,MATCH($C327,'Shultis Faw'!$A$2:$A$26,1)))*(INDEX('Shultis Faw'!$E$2:$E$26,MATCH($C327,'Shultis Faw'!$A$2:$A$26,1)+1)-INDEX('Shultis Faw'!$E$2:$E$26,MATCH($C327,'Shultis Faw'!$A$2:$A$26,1)))/(INDEX('Shultis Faw'!$A$2:$A$26,MATCH($C327,'Shultis Faw'!$A$2:$A$26,1)+1)-INDEX('Shultis Faw'!$A$2:$A$26,MATCH($C327,'Shultis Faw'!$A$2:$A$26,1))),$C327*'Shultis Faw'!$E$2/'Shultis Faw'!$A$2)</f>
        <v>5.0207269999999998E-2</v>
      </c>
      <c r="M327" s="83">
        <f>_xlfn.IFNA(INDEX('Shultis Faw'!$F$2:$F$26,MATCH($C327,'Shultis Faw'!$A$2:$A$26,1))+($C327-INDEX('Shultis Faw'!$A$2:$A$26,MATCH($C327,'Shultis Faw'!$A$2:$A$26,1)))*(INDEX('Shultis Faw'!$F$2:$F$26,MATCH($C327,'Shultis Faw'!$A$2:$A$26,1)+1)-INDEX('Shultis Faw'!$F$2:$F$26,MATCH($C327,'Shultis Faw'!$A$2:$A$26,1)))/(INDEX('Shultis Faw'!$A$2:$A$26,MATCH($C327,'Shultis Faw'!$A$2:$A$26,1)+1)-INDEX('Shultis Faw'!$A$2:$A$26,MATCH($C327,'Shultis Faw'!$A$2:$A$26,1))),$C327*'Shultis Faw'!$F$2/'Shultis Faw'!$A$2)</f>
        <v>14.2318265</v>
      </c>
      <c r="N327" s="83">
        <f>J327*(H327*'Externe blootstelling'!$D$23/2)^K327+L327*(TANH(((H327*'Externe blootstelling'!$D$23)/(2*M327))-2)-TANH(-2))/(1-TANH(-2))</f>
        <v>1.6180799815986828</v>
      </c>
      <c r="O327" s="83">
        <f>IF(N327=1,1+(I327-1)*H327*'Externe blootstelling'!$D$23/2,1+(I327-1)*(N327^(H327*'Externe blootstelling'!$D$23/2)-1)/(N327-1))</f>
        <v>3.0084780792798398</v>
      </c>
      <c r="P327" s="67">
        <f>G327*EXP(-H327*'Externe blootstelling'!$D$23/2)*O327</f>
        <v>7.6170088524713409E-5</v>
      </c>
      <c r="Q327" s="68"/>
    </row>
    <row r="328" spans="1:17" x14ac:dyDescent="0.2">
      <c r="A328" s="217"/>
      <c r="B328" s="64" t="s">
        <v>104</v>
      </c>
      <c r="C328" s="66">
        <v>0.61326000000000003</v>
      </c>
      <c r="D328" s="66">
        <f t="shared" si="22"/>
        <v>9.8121599999999992E-14</v>
      </c>
      <c r="E328" s="66">
        <v>9.2999999999999995E-4</v>
      </c>
      <c r="F328" s="66">
        <f>_xlfn.IFNA(INDEX('hp (pSv cm2)'!$B$2:$B$52,MATCH($C328,'hp (pSv cm2)'!$A$2:$A$52,1))+($C328-INDEX('hp (pSv cm2)'!$A$2:$A$52,MATCH($C328,'hp (pSv cm2)'!$A$2:$A$52,1)))*(INDEX('hp (pSv cm2)'!$B$2:$B$52,MATCH($C328,'hp (pSv cm2)'!$A$2:$A$52,1)+1)-INDEX('hp (pSv cm2)'!$B$2:$B$52,MATCH($C328,'hp (pSv cm2)'!$A$2:$A$52,1)))/(INDEX('hp (pSv cm2)'!$A$2:$A$52,MATCH($C328,'hp (pSv cm2)'!$A$2:$A$52,1)+1)-INDEX('hp (pSv cm2)'!$A$2:$A$52,MATCH($C328,'hp (pSv cm2)'!$A$2:$A$52,1))),$C328*'hp (pSv cm2)'!$B$2/'hp (pSv cm2)'!$A$2)</f>
        <v>2.9643660000000005</v>
      </c>
      <c r="G328" s="67">
        <f t="shared" si="23"/>
        <v>2.7568603800000005E-3</v>
      </c>
      <c r="H328" s="83">
        <f>_xlfn.IFNA(0.997*(INDEX('Mass attenuation coefficients'!$B$2:$B$37,MATCH($C328,'Mass attenuation coefficients'!$A$2:$A$37,1))+($C328-INDEX('Mass attenuation coefficients'!$A$2:$A$37,MATCH($C328,'Mass attenuation coefficients'!$A$2:$A$37,1)))*(INDEX('Mass attenuation coefficients'!$B$2:$B$37,MATCH($C328,'Mass attenuation coefficients'!$A$2:$A$37,1)+1)-INDEX('Mass attenuation coefficients'!$B$2:$B$37,MATCH($C328,'Mass attenuation coefficients'!$A$2:$A$37,1)))/(INDEX('Mass attenuation coefficients'!$A$2:$A$37,MATCH($C328,'Mass attenuation coefficients'!$A$2:$A$37,1)+1)-INDEX('Mass attenuation coefficients'!$A$2:$A$37,MATCH($C328,'Mass attenuation coefficients'!$A$2:$A$37,1)))),0.997*$C328*'Mass attenuation coefficients'!$B$2/'Mass attenuation coefficients'!$A$2)</f>
        <v>8.8570156998999991E-2</v>
      </c>
      <c r="I328" s="83">
        <f>_xlfn.IFNA(INDEX('Shultis Faw'!$C$2:$C$26,MATCH($C328,'Shultis Faw'!$A$2:$A$26,1))+($C328-INDEX('Shultis Faw'!$A$2:$A$26,MATCH($C328,'Shultis Faw'!$A$2:$A$26,1)))*(INDEX('Shultis Faw'!$C$2:$C$26,MATCH($C328,'Shultis Faw'!$A$2:$A$26,1)+1)-INDEX('Shultis Faw'!$C$2:$C$26,MATCH($C328,'Shultis Faw'!$A$2:$A$26,1)))/(INDEX('Shultis Faw'!$A$2:$A$26,MATCH($C328,'Shultis Faw'!$A$2:$A$26,1)+1)-INDEX('Shultis Faw'!$A$2:$A$26,MATCH($C328,'Shultis Faw'!$A$2:$A$26,1))),$C328*'Shultis Faw'!$C$2/'Shultis Faw'!$A$2)</f>
        <v>2.3660604999999997</v>
      </c>
      <c r="J328" s="83">
        <f>_xlfn.IFNA(INDEX('Shultis Faw'!$D$2:$D$26,MATCH($C328,'Shultis Faw'!$A$2:$A$26,1))+($C328-INDEX('Shultis Faw'!$A$2:$A$26,MATCH($C328,'Shultis Faw'!$A$2:$A$26,1)))*(INDEX('Shultis Faw'!$D$2:$D$26,MATCH($C328,'Shultis Faw'!$A$2:$A$26,1)+1)-INDEX('Shultis Faw'!$D$2:$D$26,MATCH($C328,'Shultis Faw'!$A$2:$A$26,1)))/(INDEX('Shultis Faw'!$A$2:$A$26,MATCH($C328,'Shultis Faw'!$A$2:$A$26,1)+1)-INDEX('Shultis Faw'!$A$2:$A$26,MATCH($C328,'Shultis Faw'!$A$2:$A$26,1))),$C328*'Shultis Faw'!$D$2/'Shultis Faw'!$A$2)</f>
        <v>1.6700495</v>
      </c>
      <c r="K328" s="83">
        <f>_xlfn.IFNA(INDEX('Shultis Faw'!$B$2:$B$26,MATCH($C328,'Shultis Faw'!$A$2:$A$26,1))+($C328-INDEX('Shultis Faw'!$A$2:$A$26,MATCH($C328,'Shultis Faw'!$A$2:$A$26,1)))*(INDEX('Shultis Faw'!$B$2:$B$26,MATCH($C328,'Shultis Faw'!$A$2:$A$26,1)+1)-INDEX('Shultis Faw'!$B$2:$B$26,MATCH($C328,'Shultis Faw'!$A$2:$A$26,1)))/(INDEX('Shultis Faw'!$A$2:$A$26,MATCH($C328,'Shultis Faw'!$A$2:$A$26,1)+1)-INDEX('Shultis Faw'!$A$2:$A$26,MATCH($C328,'Shultis Faw'!$A$2:$A$26,1))),$C328*'Shultis Faw'!$B$2/'Shultis Faw'!$A$2)</f>
        <v>-0.1227403</v>
      </c>
      <c r="L328" s="83">
        <f>_xlfn.IFNA(INDEX('Shultis Faw'!$E$2:$E$26,MATCH($C328,'Shultis Faw'!$A$2:$A$26,1))+($C328-INDEX('Shultis Faw'!$A$2:$A$26,MATCH($C328,'Shultis Faw'!$A$2:$A$26,1)))*(INDEX('Shultis Faw'!$E$2:$E$26,MATCH($C328,'Shultis Faw'!$A$2:$A$26,1)+1)-INDEX('Shultis Faw'!$E$2:$E$26,MATCH($C328,'Shultis Faw'!$A$2:$A$26,1)))/(INDEX('Shultis Faw'!$A$2:$A$26,MATCH($C328,'Shultis Faw'!$A$2:$A$26,1)+1)-INDEX('Shultis Faw'!$A$2:$A$26,MATCH($C328,'Shultis Faw'!$A$2:$A$26,1))),$C328*'Shultis Faw'!$E$2/'Shultis Faw'!$A$2)</f>
        <v>4.9862419999999998E-2</v>
      </c>
      <c r="M328" s="83">
        <f>_xlfn.IFNA(INDEX('Shultis Faw'!$F$2:$F$26,MATCH($C328,'Shultis Faw'!$A$2:$A$26,1))+($C328-INDEX('Shultis Faw'!$A$2:$A$26,MATCH($C328,'Shultis Faw'!$A$2:$A$26,1)))*(INDEX('Shultis Faw'!$F$2:$F$26,MATCH($C328,'Shultis Faw'!$A$2:$A$26,1)+1)-INDEX('Shultis Faw'!$F$2:$F$26,MATCH($C328,'Shultis Faw'!$A$2:$A$26,1)))/(INDEX('Shultis Faw'!$A$2:$A$26,MATCH($C328,'Shultis Faw'!$A$2:$A$26,1)+1)-INDEX('Shultis Faw'!$A$2:$A$26,MATCH($C328,'Shultis Faw'!$A$2:$A$26,1))),$C328*'Shultis Faw'!$F$2/'Shultis Faw'!$A$2)</f>
        <v>14.238619</v>
      </c>
      <c r="N328" s="83">
        <f>J328*(H328*'Externe blootstelling'!$D$23/2)^K328+L328*(TANH(((H328*'Externe blootstelling'!$D$23)/(2*M328))-2)-TANH(-2))/(1-TANH(-2))</f>
        <v>1.6130029770426009</v>
      </c>
      <c r="O328" s="83">
        <f>IF(N328=1,1+(I328-1)*H328*'Externe blootstelling'!$D$23/2,1+(I328-1)*(N328^(H328*'Externe blootstelling'!$D$23/2)-1)/(N328-1))</f>
        <v>2.9774523169508673</v>
      </c>
      <c r="P328" s="67">
        <f>G328*EXP(-H328*'Externe blootstelling'!$D$23/2)*O328</f>
        <v>2.1740855545272267E-3</v>
      </c>
      <c r="Q328" s="68"/>
    </row>
    <row r="329" spans="1:17" x14ac:dyDescent="0.2">
      <c r="A329" s="217"/>
      <c r="B329" s="64" t="s">
        <v>104</v>
      </c>
      <c r="C329" s="66">
        <v>0.62051999999999996</v>
      </c>
      <c r="D329" s="66">
        <f t="shared" si="22"/>
        <v>9.9283199999999999E-14</v>
      </c>
      <c r="E329" s="66">
        <v>9.1E-4</v>
      </c>
      <c r="F329" s="66">
        <f>_xlfn.IFNA(INDEX('hp (pSv cm2)'!$B$2:$B$52,MATCH($C329,'hp (pSv cm2)'!$A$2:$A$52,1))+($C329-INDEX('hp (pSv cm2)'!$A$2:$A$52,MATCH($C329,'hp (pSv cm2)'!$A$2:$A$52,1)))*(INDEX('hp (pSv cm2)'!$B$2:$B$52,MATCH($C329,'hp (pSv cm2)'!$A$2:$A$52,1)+1)-INDEX('hp (pSv cm2)'!$B$2:$B$52,MATCH($C329,'hp (pSv cm2)'!$A$2:$A$52,1)))/(INDEX('hp (pSv cm2)'!$A$2:$A$52,MATCH($C329,'hp (pSv cm2)'!$A$2:$A$52,1)+1)-INDEX('hp (pSv cm2)'!$A$2:$A$52,MATCH($C329,'hp (pSv cm2)'!$A$2:$A$52,1))),$C329*'hp (pSv cm2)'!$B$2/'hp (pSv cm2)'!$A$2)</f>
        <v>2.994132</v>
      </c>
      <c r="G329" s="67">
        <f t="shared" si="23"/>
        <v>2.7246601200000002E-3</v>
      </c>
      <c r="H329" s="83">
        <f>_xlfn.IFNA(0.997*(INDEX('Mass attenuation coefficients'!$B$2:$B$37,MATCH($C329,'Mass attenuation coefficients'!$A$2:$A$37,1))+($C329-INDEX('Mass attenuation coefficients'!$A$2:$A$37,MATCH($C329,'Mass attenuation coefficients'!$A$2:$A$37,1)))*(INDEX('Mass attenuation coefficients'!$B$2:$B$37,MATCH($C329,'Mass attenuation coefficients'!$A$2:$A$37,1)+1)-INDEX('Mass attenuation coefficients'!$B$2:$B$37,MATCH($C329,'Mass attenuation coefficients'!$A$2:$A$37,1)))/(INDEX('Mass attenuation coefficients'!$A$2:$A$37,MATCH($C329,'Mass attenuation coefficients'!$A$2:$A$37,1)+1)-INDEX('Mass attenuation coefficients'!$A$2:$A$37,MATCH($C329,'Mass attenuation coefficients'!$A$2:$A$37,1)))),0.997*$C329*'Mass attenuation coefficients'!$B$2/'Mass attenuation coefficients'!$A$2)</f>
        <v>8.8175312098000003E-2</v>
      </c>
      <c r="I329" s="83">
        <f>_xlfn.IFNA(INDEX('Shultis Faw'!$C$2:$C$26,MATCH($C329,'Shultis Faw'!$A$2:$A$26,1))+($C329-INDEX('Shultis Faw'!$A$2:$A$26,MATCH($C329,'Shultis Faw'!$A$2:$A$26,1)))*(INDEX('Shultis Faw'!$C$2:$C$26,MATCH($C329,'Shultis Faw'!$A$2:$A$26,1)+1)-INDEX('Shultis Faw'!$C$2:$C$26,MATCH($C329,'Shultis Faw'!$A$2:$A$26,1)))/(INDEX('Shultis Faw'!$A$2:$A$26,MATCH($C329,'Shultis Faw'!$A$2:$A$26,1)+1)-INDEX('Shultis Faw'!$A$2:$A$26,MATCH($C329,'Shultis Faw'!$A$2:$A$26,1))),$C329*'Shultis Faw'!$C$2/'Shultis Faw'!$A$2)</f>
        <v>2.360071</v>
      </c>
      <c r="J329" s="83">
        <f>_xlfn.IFNA(INDEX('Shultis Faw'!$D$2:$D$26,MATCH($C329,'Shultis Faw'!$A$2:$A$26,1))+($C329-INDEX('Shultis Faw'!$A$2:$A$26,MATCH($C329,'Shultis Faw'!$A$2:$A$26,1)))*(INDEX('Shultis Faw'!$D$2:$D$26,MATCH($C329,'Shultis Faw'!$A$2:$A$26,1)+1)-INDEX('Shultis Faw'!$D$2:$D$26,MATCH($C329,'Shultis Faw'!$A$2:$A$26,1)))/(INDEX('Shultis Faw'!$A$2:$A$26,MATCH($C329,'Shultis Faw'!$A$2:$A$26,1)+1)-INDEX('Shultis Faw'!$A$2:$A$26,MATCH($C329,'Shultis Faw'!$A$2:$A$26,1))),$C329*'Shultis Faw'!$D$2/'Shultis Faw'!$A$2)</f>
        <v>1.665149</v>
      </c>
      <c r="K329" s="83">
        <f>_xlfn.IFNA(INDEX('Shultis Faw'!$B$2:$B$26,MATCH($C329,'Shultis Faw'!$A$2:$A$26,1))+($C329-INDEX('Shultis Faw'!$A$2:$A$26,MATCH($C329,'Shultis Faw'!$A$2:$A$26,1)))*(INDEX('Shultis Faw'!$B$2:$B$26,MATCH($C329,'Shultis Faw'!$A$2:$A$26,1)+1)-INDEX('Shultis Faw'!$B$2:$B$26,MATCH($C329,'Shultis Faw'!$A$2:$A$26,1)))/(INDEX('Shultis Faw'!$A$2:$A$26,MATCH($C329,'Shultis Faw'!$A$2:$A$26,1)+1)-INDEX('Shultis Faw'!$A$2:$A$26,MATCH($C329,'Shultis Faw'!$A$2:$A$26,1))),$C329*'Shultis Faw'!$B$2/'Shultis Faw'!$A$2)</f>
        <v>-0.1220506</v>
      </c>
      <c r="L329" s="83">
        <f>_xlfn.IFNA(INDEX('Shultis Faw'!$E$2:$E$26,MATCH($C329,'Shultis Faw'!$A$2:$A$26,1))+($C329-INDEX('Shultis Faw'!$A$2:$A$26,MATCH($C329,'Shultis Faw'!$A$2:$A$26,1)))*(INDEX('Shultis Faw'!$E$2:$E$26,MATCH($C329,'Shultis Faw'!$A$2:$A$26,1)+1)-INDEX('Shultis Faw'!$E$2:$E$26,MATCH($C329,'Shultis Faw'!$A$2:$A$26,1)))/(INDEX('Shultis Faw'!$A$2:$A$26,MATCH($C329,'Shultis Faw'!$A$2:$A$26,1)+1)-INDEX('Shultis Faw'!$A$2:$A$26,MATCH($C329,'Shultis Faw'!$A$2:$A$26,1))),$C329*'Shultis Faw'!$E$2/'Shultis Faw'!$A$2)</f>
        <v>4.9622840000000001E-2</v>
      </c>
      <c r="M329" s="83">
        <f>_xlfn.IFNA(INDEX('Shultis Faw'!$F$2:$F$26,MATCH($C329,'Shultis Faw'!$A$2:$A$26,1))+($C329-INDEX('Shultis Faw'!$A$2:$A$26,MATCH($C329,'Shultis Faw'!$A$2:$A$26,1)))*(INDEX('Shultis Faw'!$F$2:$F$26,MATCH($C329,'Shultis Faw'!$A$2:$A$26,1)+1)-INDEX('Shultis Faw'!$F$2:$F$26,MATCH($C329,'Shultis Faw'!$A$2:$A$26,1)))/(INDEX('Shultis Faw'!$A$2:$A$26,MATCH($C329,'Shultis Faw'!$A$2:$A$26,1)+1)-INDEX('Shultis Faw'!$A$2:$A$26,MATCH($C329,'Shultis Faw'!$A$2:$A$26,1))),$C329*'Shultis Faw'!$F$2/'Shultis Faw'!$A$2)</f>
        <v>14.243338</v>
      </c>
      <c r="N329" s="83">
        <f>J329*(H329*'Externe blootstelling'!$D$23/2)^K329+L329*(TANH(((H329*'Externe blootstelling'!$D$23)/(2*M329))-2)-TANH(-2))/(1-TANH(-2))</f>
        <v>1.6094610169435211</v>
      </c>
      <c r="O329" s="83">
        <f>IF(N329=1,1+(I329-1)*H329*'Externe blootstelling'!$D$23/2,1+(I329-1)*(N329^(H329*'Externe blootstelling'!$D$23/2)-1)/(N329-1))</f>
        <v>2.9561209770475867</v>
      </c>
      <c r="P329" s="67">
        <f>G329*EXP(-H329*'Externe blootstelling'!$D$23/2)*O329</f>
        <v>2.145970591911496E-3</v>
      </c>
      <c r="Q329" s="68"/>
    </row>
    <row r="330" spans="1:17" x14ac:dyDescent="0.2">
      <c r="A330" s="217"/>
      <c r="B330" s="64" t="s">
        <v>104</v>
      </c>
      <c r="C330" s="66">
        <v>0.62525559999999991</v>
      </c>
      <c r="D330" s="66">
        <f t="shared" si="22"/>
        <v>1.0004089599999997E-13</v>
      </c>
      <c r="E330" s="66">
        <v>3.1700000000000001E-3</v>
      </c>
      <c r="F330" s="66">
        <f>_xlfn.IFNA(INDEX('hp (pSv cm2)'!$B$2:$B$52,MATCH($C330,'hp (pSv cm2)'!$A$2:$A$52,1))+($C330-INDEX('hp (pSv cm2)'!$A$2:$A$52,MATCH($C330,'hp (pSv cm2)'!$A$2:$A$52,1)))*(INDEX('hp (pSv cm2)'!$B$2:$B$52,MATCH($C330,'hp (pSv cm2)'!$A$2:$A$52,1)+1)-INDEX('hp (pSv cm2)'!$B$2:$B$52,MATCH($C330,'hp (pSv cm2)'!$A$2:$A$52,1)))/(INDEX('hp (pSv cm2)'!$A$2:$A$52,MATCH($C330,'hp (pSv cm2)'!$A$2:$A$52,1)+1)-INDEX('hp (pSv cm2)'!$A$2:$A$52,MATCH($C330,'hp (pSv cm2)'!$A$2:$A$52,1))),$C330*'hp (pSv cm2)'!$B$2/'hp (pSv cm2)'!$A$2)</f>
        <v>3.0135479599999999</v>
      </c>
      <c r="G330" s="67">
        <f t="shared" si="23"/>
        <v>9.5529470331999992E-3</v>
      </c>
      <c r="H330" s="83">
        <f>_xlfn.IFNA(0.997*(INDEX('Mass attenuation coefficients'!$B$2:$B$37,MATCH($C330,'Mass attenuation coefficients'!$A$2:$A$37,1))+($C330-INDEX('Mass attenuation coefficients'!$A$2:$A$37,MATCH($C330,'Mass attenuation coefficients'!$A$2:$A$37,1)))*(INDEX('Mass attenuation coefficients'!$B$2:$B$37,MATCH($C330,'Mass attenuation coefficients'!$A$2:$A$37,1)+1)-INDEX('Mass attenuation coefficients'!$B$2:$B$37,MATCH($C330,'Mass attenuation coefficients'!$A$2:$A$37,1)))/(INDEX('Mass attenuation coefficients'!$A$2:$A$37,MATCH($C330,'Mass attenuation coefficients'!$A$2:$A$37,1)+1)-INDEX('Mass attenuation coefficients'!$A$2:$A$37,MATCH($C330,'Mass attenuation coefficients'!$A$2:$A$37,1)))),0.997*$C330*'Mass attenuation coefficients'!$B$2/'Mass attenuation coefficients'!$A$2)</f>
        <v>8.7917760098940007E-2</v>
      </c>
      <c r="I330" s="83">
        <f>_xlfn.IFNA(INDEX('Shultis Faw'!$C$2:$C$26,MATCH($C330,'Shultis Faw'!$A$2:$A$26,1))+($C330-INDEX('Shultis Faw'!$A$2:$A$26,MATCH($C330,'Shultis Faw'!$A$2:$A$26,1)))*(INDEX('Shultis Faw'!$C$2:$C$26,MATCH($C330,'Shultis Faw'!$A$2:$A$26,1)+1)-INDEX('Shultis Faw'!$C$2:$C$26,MATCH($C330,'Shultis Faw'!$A$2:$A$26,1)))/(INDEX('Shultis Faw'!$A$2:$A$26,MATCH($C330,'Shultis Faw'!$A$2:$A$26,1)+1)-INDEX('Shultis Faw'!$A$2:$A$26,MATCH($C330,'Shultis Faw'!$A$2:$A$26,1))),$C330*'Shultis Faw'!$C$2/'Shultis Faw'!$A$2)</f>
        <v>2.3561641299999998</v>
      </c>
      <c r="J330" s="83">
        <f>_xlfn.IFNA(INDEX('Shultis Faw'!$D$2:$D$26,MATCH($C330,'Shultis Faw'!$A$2:$A$26,1))+($C330-INDEX('Shultis Faw'!$A$2:$A$26,MATCH($C330,'Shultis Faw'!$A$2:$A$26,1)))*(INDEX('Shultis Faw'!$D$2:$D$26,MATCH($C330,'Shultis Faw'!$A$2:$A$26,1)+1)-INDEX('Shultis Faw'!$D$2:$D$26,MATCH($C330,'Shultis Faw'!$A$2:$A$26,1)))/(INDEX('Shultis Faw'!$A$2:$A$26,MATCH($C330,'Shultis Faw'!$A$2:$A$26,1)+1)-INDEX('Shultis Faw'!$A$2:$A$26,MATCH($C330,'Shultis Faw'!$A$2:$A$26,1))),$C330*'Shultis Faw'!$D$2/'Shultis Faw'!$A$2)</f>
        <v>1.6619524700000001</v>
      </c>
      <c r="K330" s="83">
        <f>_xlfn.IFNA(INDEX('Shultis Faw'!$B$2:$B$26,MATCH($C330,'Shultis Faw'!$A$2:$A$26,1))+($C330-INDEX('Shultis Faw'!$A$2:$A$26,MATCH($C330,'Shultis Faw'!$A$2:$A$26,1)))*(INDEX('Shultis Faw'!$B$2:$B$26,MATCH($C330,'Shultis Faw'!$A$2:$A$26,1)+1)-INDEX('Shultis Faw'!$B$2:$B$26,MATCH($C330,'Shultis Faw'!$A$2:$A$26,1)))/(INDEX('Shultis Faw'!$A$2:$A$26,MATCH($C330,'Shultis Faw'!$A$2:$A$26,1)+1)-INDEX('Shultis Faw'!$A$2:$A$26,MATCH($C330,'Shultis Faw'!$A$2:$A$26,1))),$C330*'Shultis Faw'!$B$2/'Shultis Faw'!$A$2)</f>
        <v>-0.12160071800000001</v>
      </c>
      <c r="L330" s="83">
        <f>_xlfn.IFNA(INDEX('Shultis Faw'!$E$2:$E$26,MATCH($C330,'Shultis Faw'!$A$2:$A$26,1))+($C330-INDEX('Shultis Faw'!$A$2:$A$26,MATCH($C330,'Shultis Faw'!$A$2:$A$26,1)))*(INDEX('Shultis Faw'!$E$2:$E$26,MATCH($C330,'Shultis Faw'!$A$2:$A$26,1)+1)-INDEX('Shultis Faw'!$E$2:$E$26,MATCH($C330,'Shultis Faw'!$A$2:$A$26,1)))/(INDEX('Shultis Faw'!$A$2:$A$26,MATCH($C330,'Shultis Faw'!$A$2:$A$26,1)+1)-INDEX('Shultis Faw'!$A$2:$A$26,MATCH($C330,'Shultis Faw'!$A$2:$A$26,1))),$C330*'Shultis Faw'!$E$2/'Shultis Faw'!$A$2)</f>
        <v>4.94665652E-2</v>
      </c>
      <c r="M330" s="83">
        <f>_xlfn.IFNA(INDEX('Shultis Faw'!$F$2:$F$26,MATCH($C330,'Shultis Faw'!$A$2:$A$26,1))+($C330-INDEX('Shultis Faw'!$A$2:$A$26,MATCH($C330,'Shultis Faw'!$A$2:$A$26,1)))*(INDEX('Shultis Faw'!$F$2:$F$26,MATCH($C330,'Shultis Faw'!$A$2:$A$26,1)+1)-INDEX('Shultis Faw'!$F$2:$F$26,MATCH($C330,'Shultis Faw'!$A$2:$A$26,1)))/(INDEX('Shultis Faw'!$A$2:$A$26,MATCH($C330,'Shultis Faw'!$A$2:$A$26,1)+1)-INDEX('Shultis Faw'!$A$2:$A$26,MATCH($C330,'Shultis Faw'!$A$2:$A$26,1))),$C330*'Shultis Faw'!$F$2/'Shultis Faw'!$A$2)</f>
        <v>14.246416140000001</v>
      </c>
      <c r="N330" s="83">
        <f>J330*(H330*'Externe blootstelling'!$D$23/2)^K330+L330*(TANH(((H330*'Externe blootstelling'!$D$23)/(2*M330))-2)-TANH(-2))/(1-TANH(-2))</f>
        <v>1.6071441155452866</v>
      </c>
      <c r="O330" s="83">
        <f>IF(N330=1,1+(I330-1)*H330*'Externe blootstelling'!$D$23/2,1+(I330-1)*(N330^(H330*'Externe blootstelling'!$D$23/2)-1)/(N330-1))</f>
        <v>2.9423047430585889</v>
      </c>
      <c r="P330" s="67">
        <f>G330*EXP(-H330*'Externe blootstelling'!$D$23/2)*O330</f>
        <v>7.517822205745533E-3</v>
      </c>
      <c r="Q330" s="68"/>
    </row>
    <row r="331" spans="1:17" x14ac:dyDescent="0.2">
      <c r="A331" s="217"/>
      <c r="B331" s="64" t="s">
        <v>104</v>
      </c>
      <c r="C331" s="66">
        <v>0.64239999999999997</v>
      </c>
      <c r="D331" s="66">
        <f t="shared" si="22"/>
        <v>1.0278399999999999E-13</v>
      </c>
      <c r="E331" s="66">
        <v>4.4000000000000006E-5</v>
      </c>
      <c r="F331" s="66">
        <f>_xlfn.IFNA(INDEX('hp (pSv cm2)'!$B$2:$B$52,MATCH($C331,'hp (pSv cm2)'!$A$2:$A$52,1))+($C331-INDEX('hp (pSv cm2)'!$A$2:$A$52,MATCH($C331,'hp (pSv cm2)'!$A$2:$A$52,1)))*(INDEX('hp (pSv cm2)'!$B$2:$B$52,MATCH($C331,'hp (pSv cm2)'!$A$2:$A$52,1)+1)-INDEX('hp (pSv cm2)'!$B$2:$B$52,MATCH($C331,'hp (pSv cm2)'!$A$2:$A$52,1)))/(INDEX('hp (pSv cm2)'!$A$2:$A$52,MATCH($C331,'hp (pSv cm2)'!$A$2:$A$52,1)+1)-INDEX('hp (pSv cm2)'!$A$2:$A$52,MATCH($C331,'hp (pSv cm2)'!$A$2:$A$52,1))),$C331*'hp (pSv cm2)'!$B$2/'hp (pSv cm2)'!$A$2)</f>
        <v>3.0838399999999999</v>
      </c>
      <c r="G331" s="67">
        <f t="shared" si="23"/>
        <v>1.3568896000000001E-4</v>
      </c>
      <c r="H331" s="83">
        <f>_xlfn.IFNA(0.997*(INDEX('Mass attenuation coefficients'!$B$2:$B$37,MATCH($C331,'Mass attenuation coefficients'!$A$2:$A$37,1))+($C331-INDEX('Mass attenuation coefficients'!$A$2:$A$37,MATCH($C331,'Mass attenuation coefficients'!$A$2:$A$37,1)))*(INDEX('Mass attenuation coefficients'!$B$2:$B$37,MATCH($C331,'Mass attenuation coefficients'!$A$2:$A$37,1)+1)-INDEX('Mass attenuation coefficients'!$B$2:$B$37,MATCH($C331,'Mass attenuation coefficients'!$A$2:$A$37,1)))/(INDEX('Mass attenuation coefficients'!$A$2:$A$37,MATCH($C331,'Mass attenuation coefficients'!$A$2:$A$37,1)+1)-INDEX('Mass attenuation coefficients'!$A$2:$A$37,MATCH($C331,'Mass attenuation coefficients'!$A$2:$A$37,1)))),0.997*$C331*'Mass attenuation coefficients'!$B$2/'Mass attenuation coefficients'!$A$2)</f>
        <v>8.6985338760000003E-2</v>
      </c>
      <c r="I331" s="83">
        <f>_xlfn.IFNA(INDEX('Shultis Faw'!$C$2:$C$26,MATCH($C331,'Shultis Faw'!$A$2:$A$26,1))+($C331-INDEX('Shultis Faw'!$A$2:$A$26,MATCH($C331,'Shultis Faw'!$A$2:$A$26,1)))*(INDEX('Shultis Faw'!$C$2:$C$26,MATCH($C331,'Shultis Faw'!$A$2:$A$26,1)+1)-INDEX('Shultis Faw'!$C$2:$C$26,MATCH($C331,'Shultis Faw'!$A$2:$A$26,1)))/(INDEX('Shultis Faw'!$A$2:$A$26,MATCH($C331,'Shultis Faw'!$A$2:$A$26,1)+1)-INDEX('Shultis Faw'!$A$2:$A$26,MATCH($C331,'Shultis Faw'!$A$2:$A$26,1))),$C331*'Shultis Faw'!$C$2/'Shultis Faw'!$A$2)</f>
        <v>2.3420199999999998</v>
      </c>
      <c r="J331" s="83">
        <f>_xlfn.IFNA(INDEX('Shultis Faw'!$D$2:$D$26,MATCH($C331,'Shultis Faw'!$A$2:$A$26,1))+($C331-INDEX('Shultis Faw'!$A$2:$A$26,MATCH($C331,'Shultis Faw'!$A$2:$A$26,1)))*(INDEX('Shultis Faw'!$D$2:$D$26,MATCH($C331,'Shultis Faw'!$A$2:$A$26,1)+1)-INDEX('Shultis Faw'!$D$2:$D$26,MATCH($C331,'Shultis Faw'!$A$2:$A$26,1)))/(INDEX('Shultis Faw'!$A$2:$A$26,MATCH($C331,'Shultis Faw'!$A$2:$A$26,1)+1)-INDEX('Shultis Faw'!$A$2:$A$26,MATCH($C331,'Shultis Faw'!$A$2:$A$26,1))),$C331*'Shultis Faw'!$D$2/'Shultis Faw'!$A$2)</f>
        <v>1.65038</v>
      </c>
      <c r="K331" s="83">
        <f>_xlfn.IFNA(INDEX('Shultis Faw'!$B$2:$B$26,MATCH($C331,'Shultis Faw'!$A$2:$A$26,1))+($C331-INDEX('Shultis Faw'!$A$2:$A$26,MATCH($C331,'Shultis Faw'!$A$2:$A$26,1)))*(INDEX('Shultis Faw'!$B$2:$B$26,MATCH($C331,'Shultis Faw'!$A$2:$A$26,1)+1)-INDEX('Shultis Faw'!$B$2:$B$26,MATCH($C331,'Shultis Faw'!$A$2:$A$26,1)))/(INDEX('Shultis Faw'!$A$2:$A$26,MATCH($C331,'Shultis Faw'!$A$2:$A$26,1)+1)-INDEX('Shultis Faw'!$A$2:$A$26,MATCH($C331,'Shultis Faw'!$A$2:$A$26,1))),$C331*'Shultis Faw'!$B$2/'Shultis Faw'!$A$2)</f>
        <v>-0.119972</v>
      </c>
      <c r="L331" s="83">
        <f>_xlfn.IFNA(INDEX('Shultis Faw'!$E$2:$E$26,MATCH($C331,'Shultis Faw'!$A$2:$A$26,1))+($C331-INDEX('Shultis Faw'!$A$2:$A$26,MATCH($C331,'Shultis Faw'!$A$2:$A$26,1)))*(INDEX('Shultis Faw'!$E$2:$E$26,MATCH($C331,'Shultis Faw'!$A$2:$A$26,1)+1)-INDEX('Shultis Faw'!$E$2:$E$26,MATCH($C331,'Shultis Faw'!$A$2:$A$26,1)))/(INDEX('Shultis Faw'!$A$2:$A$26,MATCH($C331,'Shultis Faw'!$A$2:$A$26,1)+1)-INDEX('Shultis Faw'!$A$2:$A$26,MATCH($C331,'Shultis Faw'!$A$2:$A$26,1))),$C331*'Shultis Faw'!$E$2/'Shultis Faw'!$A$2)</f>
        <v>4.8900800000000001E-2</v>
      </c>
      <c r="M331" s="83">
        <f>_xlfn.IFNA(INDEX('Shultis Faw'!$F$2:$F$26,MATCH($C331,'Shultis Faw'!$A$2:$A$26,1))+($C331-INDEX('Shultis Faw'!$A$2:$A$26,MATCH($C331,'Shultis Faw'!$A$2:$A$26,1)))*(INDEX('Shultis Faw'!$F$2:$F$26,MATCH($C331,'Shultis Faw'!$A$2:$A$26,1)+1)-INDEX('Shultis Faw'!$F$2:$F$26,MATCH($C331,'Shultis Faw'!$A$2:$A$26,1)))/(INDEX('Shultis Faw'!$A$2:$A$26,MATCH($C331,'Shultis Faw'!$A$2:$A$26,1)+1)-INDEX('Shultis Faw'!$A$2:$A$26,MATCH($C331,'Shultis Faw'!$A$2:$A$26,1))),$C331*'Shultis Faw'!$F$2/'Shultis Faw'!$A$2)</f>
        <v>14.25756</v>
      </c>
      <c r="N331" s="83">
        <f>J331*(H331*'Externe blootstelling'!$D$23/2)^K331+L331*(TANH(((H331*'Externe blootstelling'!$D$23)/(2*M331))-2)-TANH(-2))/(1-TANH(-2))</f>
        <v>1.5987130786386681</v>
      </c>
      <c r="O331" s="83">
        <f>IF(N331=1,1+(I331-1)*H331*'Externe blootstelling'!$D$23/2,1+(I331-1)*(N331^(H331*'Externe blootstelling'!$D$23/2)-1)/(N331-1))</f>
        <v>2.8929253582553471</v>
      </c>
      <c r="P331" s="67">
        <f>G331*EXP(-H331*'Externe blootstelling'!$D$23/2)*O331</f>
        <v>1.0646894549687391E-4</v>
      </c>
      <c r="Q331" s="68"/>
    </row>
    <row r="332" spans="1:17" x14ac:dyDescent="0.2">
      <c r="A332" s="217"/>
      <c r="B332" s="64" t="s">
        <v>104</v>
      </c>
      <c r="C332" s="66">
        <v>0.64944000000000002</v>
      </c>
      <c r="D332" s="66">
        <f t="shared" si="22"/>
        <v>1.039104E-13</v>
      </c>
      <c r="E332" s="66">
        <v>7.7999999999999999E-4</v>
      </c>
      <c r="F332" s="66">
        <f>_xlfn.IFNA(INDEX('hp (pSv cm2)'!$B$2:$B$52,MATCH($C332,'hp (pSv cm2)'!$A$2:$A$52,1))+($C332-INDEX('hp (pSv cm2)'!$A$2:$A$52,MATCH($C332,'hp (pSv cm2)'!$A$2:$A$52,1)))*(INDEX('hp (pSv cm2)'!$B$2:$B$52,MATCH($C332,'hp (pSv cm2)'!$A$2:$A$52,1)+1)-INDEX('hp (pSv cm2)'!$B$2:$B$52,MATCH($C332,'hp (pSv cm2)'!$A$2:$A$52,1)))/(INDEX('hp (pSv cm2)'!$A$2:$A$52,MATCH($C332,'hp (pSv cm2)'!$A$2:$A$52,1)+1)-INDEX('hp (pSv cm2)'!$A$2:$A$52,MATCH($C332,'hp (pSv cm2)'!$A$2:$A$52,1))),$C332*'hp (pSv cm2)'!$B$2/'hp (pSv cm2)'!$A$2)</f>
        <v>3.1127040000000004</v>
      </c>
      <c r="G332" s="67">
        <f t="shared" si="23"/>
        <v>2.4279091200000002E-3</v>
      </c>
      <c r="H332" s="83">
        <f>_xlfn.IFNA(0.997*(INDEX('Mass attenuation coefficients'!$B$2:$B$37,MATCH($C332,'Mass attenuation coefficients'!$A$2:$A$37,1))+($C332-INDEX('Mass attenuation coefficients'!$A$2:$A$37,MATCH($C332,'Mass attenuation coefficients'!$A$2:$A$37,1)))*(INDEX('Mass attenuation coefficients'!$B$2:$B$37,MATCH($C332,'Mass attenuation coefficients'!$A$2:$A$37,1)+1)-INDEX('Mass attenuation coefficients'!$B$2:$B$37,MATCH($C332,'Mass attenuation coefficients'!$A$2:$A$37,1)))/(INDEX('Mass attenuation coefficients'!$A$2:$A$37,MATCH($C332,'Mass attenuation coefficients'!$A$2:$A$37,1)+1)-INDEX('Mass attenuation coefficients'!$A$2:$A$37,MATCH($C332,'Mass attenuation coefficients'!$A$2:$A$37,1)))),0.997*$C332*'Mass attenuation coefficients'!$B$2/'Mass attenuation coefficients'!$A$2)</f>
        <v>8.6602458856E-2</v>
      </c>
      <c r="I332" s="83">
        <f>_xlfn.IFNA(INDEX('Shultis Faw'!$C$2:$C$26,MATCH($C332,'Shultis Faw'!$A$2:$A$26,1))+($C332-INDEX('Shultis Faw'!$A$2:$A$26,MATCH($C332,'Shultis Faw'!$A$2:$A$26,1)))*(INDEX('Shultis Faw'!$C$2:$C$26,MATCH($C332,'Shultis Faw'!$A$2:$A$26,1)+1)-INDEX('Shultis Faw'!$C$2:$C$26,MATCH($C332,'Shultis Faw'!$A$2:$A$26,1)))/(INDEX('Shultis Faw'!$A$2:$A$26,MATCH($C332,'Shultis Faw'!$A$2:$A$26,1)+1)-INDEX('Shultis Faw'!$A$2:$A$26,MATCH($C332,'Shultis Faw'!$A$2:$A$26,1))),$C332*'Shultis Faw'!$C$2/'Shultis Faw'!$A$2)</f>
        <v>2.3362119999999997</v>
      </c>
      <c r="J332" s="83">
        <f>_xlfn.IFNA(INDEX('Shultis Faw'!$D$2:$D$26,MATCH($C332,'Shultis Faw'!$A$2:$A$26,1))+($C332-INDEX('Shultis Faw'!$A$2:$A$26,MATCH($C332,'Shultis Faw'!$A$2:$A$26,1)))*(INDEX('Shultis Faw'!$D$2:$D$26,MATCH($C332,'Shultis Faw'!$A$2:$A$26,1)+1)-INDEX('Shultis Faw'!$D$2:$D$26,MATCH($C332,'Shultis Faw'!$A$2:$A$26,1)))/(INDEX('Shultis Faw'!$A$2:$A$26,MATCH($C332,'Shultis Faw'!$A$2:$A$26,1)+1)-INDEX('Shultis Faw'!$A$2:$A$26,MATCH($C332,'Shultis Faw'!$A$2:$A$26,1))),$C332*'Shultis Faw'!$D$2/'Shultis Faw'!$A$2)</f>
        <v>1.6456280000000001</v>
      </c>
      <c r="K332" s="83">
        <f>_xlfn.IFNA(INDEX('Shultis Faw'!$B$2:$B$26,MATCH($C332,'Shultis Faw'!$A$2:$A$26,1))+($C332-INDEX('Shultis Faw'!$A$2:$A$26,MATCH($C332,'Shultis Faw'!$A$2:$A$26,1)))*(INDEX('Shultis Faw'!$B$2:$B$26,MATCH($C332,'Shultis Faw'!$A$2:$A$26,1)+1)-INDEX('Shultis Faw'!$B$2:$B$26,MATCH($C332,'Shultis Faw'!$A$2:$A$26,1)))/(INDEX('Shultis Faw'!$A$2:$A$26,MATCH($C332,'Shultis Faw'!$A$2:$A$26,1)+1)-INDEX('Shultis Faw'!$A$2:$A$26,MATCH($C332,'Shultis Faw'!$A$2:$A$26,1))),$C332*'Shultis Faw'!$B$2/'Shultis Faw'!$A$2)</f>
        <v>-0.1193032</v>
      </c>
      <c r="L332" s="83">
        <f>_xlfn.IFNA(INDEX('Shultis Faw'!$E$2:$E$26,MATCH($C332,'Shultis Faw'!$A$2:$A$26,1))+($C332-INDEX('Shultis Faw'!$A$2:$A$26,MATCH($C332,'Shultis Faw'!$A$2:$A$26,1)))*(INDEX('Shultis Faw'!$E$2:$E$26,MATCH($C332,'Shultis Faw'!$A$2:$A$26,1)+1)-INDEX('Shultis Faw'!$E$2:$E$26,MATCH($C332,'Shultis Faw'!$A$2:$A$26,1)))/(INDEX('Shultis Faw'!$A$2:$A$26,MATCH($C332,'Shultis Faw'!$A$2:$A$26,1)+1)-INDEX('Shultis Faw'!$A$2:$A$26,MATCH($C332,'Shultis Faw'!$A$2:$A$26,1))),$C332*'Shultis Faw'!$E$2/'Shultis Faw'!$A$2)</f>
        <v>4.866848E-2</v>
      </c>
      <c r="M332" s="83">
        <f>_xlfn.IFNA(INDEX('Shultis Faw'!$F$2:$F$26,MATCH($C332,'Shultis Faw'!$A$2:$A$26,1))+($C332-INDEX('Shultis Faw'!$A$2:$A$26,MATCH($C332,'Shultis Faw'!$A$2:$A$26,1)))*(INDEX('Shultis Faw'!$F$2:$F$26,MATCH($C332,'Shultis Faw'!$A$2:$A$26,1)+1)-INDEX('Shultis Faw'!$F$2:$F$26,MATCH($C332,'Shultis Faw'!$A$2:$A$26,1)))/(INDEX('Shultis Faw'!$A$2:$A$26,MATCH($C332,'Shultis Faw'!$A$2:$A$26,1)+1)-INDEX('Shultis Faw'!$A$2:$A$26,MATCH($C332,'Shultis Faw'!$A$2:$A$26,1))),$C332*'Shultis Faw'!$F$2/'Shultis Faw'!$A$2)</f>
        <v>14.262136</v>
      </c>
      <c r="N332" s="83">
        <f>J332*(H332*'Externe blootstelling'!$D$23/2)^K332+L332*(TANH(((H332*'Externe blootstelling'!$D$23)/(2*M332))-2)-TANH(-2))/(1-TANH(-2))</f>
        <v>1.5952314822996332</v>
      </c>
      <c r="O332" s="83">
        <f>IF(N332=1,1+(I332-1)*H332*'Externe blootstelling'!$D$23/2,1+(I332-1)*(N332^(H332*'Externe blootstelling'!$D$23/2)-1)/(N332-1))</f>
        <v>2.8729361277399645</v>
      </c>
      <c r="P332" s="67">
        <f>G332*EXP(-H332*'Externe blootstelling'!$D$23/2)*O332</f>
        <v>1.9028030862361994E-3</v>
      </c>
      <c r="Q332" s="68"/>
    </row>
    <row r="333" spans="1:17" x14ac:dyDescent="0.2">
      <c r="A333" s="217"/>
      <c r="B333" s="64" t="s">
        <v>104</v>
      </c>
      <c r="C333" s="66">
        <v>0.65060000000000007</v>
      </c>
      <c r="D333" s="66">
        <f t="shared" si="22"/>
        <v>1.0409600000000002E-13</v>
      </c>
      <c r="E333" s="66">
        <v>9.7999999999999997E-5</v>
      </c>
      <c r="F333" s="66">
        <f>_xlfn.IFNA(INDEX('hp (pSv cm2)'!$B$2:$B$52,MATCH($C333,'hp (pSv cm2)'!$A$2:$A$52,1))+($C333-INDEX('hp (pSv cm2)'!$A$2:$A$52,MATCH($C333,'hp (pSv cm2)'!$A$2:$A$52,1)))*(INDEX('hp (pSv cm2)'!$B$2:$B$52,MATCH($C333,'hp (pSv cm2)'!$A$2:$A$52,1)+1)-INDEX('hp (pSv cm2)'!$B$2:$B$52,MATCH($C333,'hp (pSv cm2)'!$A$2:$A$52,1)))/(INDEX('hp (pSv cm2)'!$A$2:$A$52,MATCH($C333,'hp (pSv cm2)'!$A$2:$A$52,1)+1)-INDEX('hp (pSv cm2)'!$A$2:$A$52,MATCH($C333,'hp (pSv cm2)'!$A$2:$A$52,1))),$C333*'hp (pSv cm2)'!$B$2/'hp (pSv cm2)'!$A$2)</f>
        <v>3.1174600000000003</v>
      </c>
      <c r="G333" s="67">
        <f t="shared" si="23"/>
        <v>3.0551108000000002E-4</v>
      </c>
      <c r="H333" s="83">
        <f>_xlfn.IFNA(0.997*(INDEX('Mass attenuation coefficients'!$B$2:$B$37,MATCH($C333,'Mass attenuation coefficients'!$A$2:$A$37,1))+($C333-INDEX('Mass attenuation coefficients'!$A$2:$A$37,MATCH($C333,'Mass attenuation coefficients'!$A$2:$A$37,1)))*(INDEX('Mass attenuation coefficients'!$B$2:$B$37,MATCH($C333,'Mass attenuation coefficients'!$A$2:$A$37,1)+1)-INDEX('Mass attenuation coefficients'!$B$2:$B$37,MATCH($C333,'Mass attenuation coefficients'!$A$2:$A$37,1)))/(INDEX('Mass attenuation coefficients'!$A$2:$A$37,MATCH($C333,'Mass attenuation coefficients'!$A$2:$A$37,1)+1)-INDEX('Mass attenuation coefficients'!$A$2:$A$37,MATCH($C333,'Mass attenuation coefficients'!$A$2:$A$37,1)))),0.997*$C333*'Mass attenuation coefficients'!$B$2/'Mass attenuation coefficients'!$A$2)</f>
        <v>8.6539370689999992E-2</v>
      </c>
      <c r="I333" s="83">
        <f>_xlfn.IFNA(INDEX('Shultis Faw'!$C$2:$C$26,MATCH($C333,'Shultis Faw'!$A$2:$A$26,1))+($C333-INDEX('Shultis Faw'!$A$2:$A$26,MATCH($C333,'Shultis Faw'!$A$2:$A$26,1)))*(INDEX('Shultis Faw'!$C$2:$C$26,MATCH($C333,'Shultis Faw'!$A$2:$A$26,1)+1)-INDEX('Shultis Faw'!$C$2:$C$26,MATCH($C333,'Shultis Faw'!$A$2:$A$26,1)))/(INDEX('Shultis Faw'!$A$2:$A$26,MATCH($C333,'Shultis Faw'!$A$2:$A$26,1)+1)-INDEX('Shultis Faw'!$A$2:$A$26,MATCH($C333,'Shultis Faw'!$A$2:$A$26,1))),$C333*'Shultis Faw'!$C$2/'Shultis Faw'!$A$2)</f>
        <v>2.3352549999999996</v>
      </c>
      <c r="J333" s="83">
        <f>_xlfn.IFNA(INDEX('Shultis Faw'!$D$2:$D$26,MATCH($C333,'Shultis Faw'!$A$2:$A$26,1))+($C333-INDEX('Shultis Faw'!$A$2:$A$26,MATCH($C333,'Shultis Faw'!$A$2:$A$26,1)))*(INDEX('Shultis Faw'!$D$2:$D$26,MATCH($C333,'Shultis Faw'!$A$2:$A$26,1)+1)-INDEX('Shultis Faw'!$D$2:$D$26,MATCH($C333,'Shultis Faw'!$A$2:$A$26,1)))/(INDEX('Shultis Faw'!$A$2:$A$26,MATCH($C333,'Shultis Faw'!$A$2:$A$26,1)+1)-INDEX('Shultis Faw'!$A$2:$A$26,MATCH($C333,'Shultis Faw'!$A$2:$A$26,1))),$C333*'Shultis Faw'!$D$2/'Shultis Faw'!$A$2)</f>
        <v>1.6448449999999999</v>
      </c>
      <c r="K333" s="83">
        <f>_xlfn.IFNA(INDEX('Shultis Faw'!$B$2:$B$26,MATCH($C333,'Shultis Faw'!$A$2:$A$26,1))+($C333-INDEX('Shultis Faw'!$A$2:$A$26,MATCH($C333,'Shultis Faw'!$A$2:$A$26,1)))*(INDEX('Shultis Faw'!$B$2:$B$26,MATCH($C333,'Shultis Faw'!$A$2:$A$26,1)+1)-INDEX('Shultis Faw'!$B$2:$B$26,MATCH($C333,'Shultis Faw'!$A$2:$A$26,1)))/(INDEX('Shultis Faw'!$A$2:$A$26,MATCH($C333,'Shultis Faw'!$A$2:$A$26,1)+1)-INDEX('Shultis Faw'!$A$2:$A$26,MATCH($C333,'Shultis Faw'!$A$2:$A$26,1))),$C333*'Shultis Faw'!$B$2/'Shultis Faw'!$A$2)</f>
        <v>-0.11919299999999999</v>
      </c>
      <c r="L333" s="83">
        <f>_xlfn.IFNA(INDEX('Shultis Faw'!$E$2:$E$26,MATCH($C333,'Shultis Faw'!$A$2:$A$26,1))+($C333-INDEX('Shultis Faw'!$A$2:$A$26,MATCH($C333,'Shultis Faw'!$A$2:$A$26,1)))*(INDEX('Shultis Faw'!$E$2:$E$26,MATCH($C333,'Shultis Faw'!$A$2:$A$26,1)+1)-INDEX('Shultis Faw'!$E$2:$E$26,MATCH($C333,'Shultis Faw'!$A$2:$A$26,1)))/(INDEX('Shultis Faw'!$A$2:$A$26,MATCH($C333,'Shultis Faw'!$A$2:$A$26,1)+1)-INDEX('Shultis Faw'!$A$2:$A$26,MATCH($C333,'Shultis Faw'!$A$2:$A$26,1))),$C333*'Shultis Faw'!$E$2/'Shultis Faw'!$A$2)</f>
        <v>4.8630199999999998E-2</v>
      </c>
      <c r="M333" s="83">
        <f>_xlfn.IFNA(INDEX('Shultis Faw'!$F$2:$F$26,MATCH($C333,'Shultis Faw'!$A$2:$A$26,1))+($C333-INDEX('Shultis Faw'!$A$2:$A$26,MATCH($C333,'Shultis Faw'!$A$2:$A$26,1)))*(INDEX('Shultis Faw'!$F$2:$F$26,MATCH($C333,'Shultis Faw'!$A$2:$A$26,1)+1)-INDEX('Shultis Faw'!$F$2:$F$26,MATCH($C333,'Shultis Faw'!$A$2:$A$26,1)))/(INDEX('Shultis Faw'!$A$2:$A$26,MATCH($C333,'Shultis Faw'!$A$2:$A$26,1)+1)-INDEX('Shultis Faw'!$A$2:$A$26,MATCH($C333,'Shultis Faw'!$A$2:$A$26,1))),$C333*'Shultis Faw'!$F$2/'Shultis Faw'!$A$2)</f>
        <v>14.262890000000001</v>
      </c>
      <c r="N333" s="83">
        <f>J333*(H333*'Externe blootstelling'!$D$23/2)^K333+L333*(TANH(((H333*'Externe blootstelling'!$D$23)/(2*M333))-2)-TANH(-2))/(1-TANH(-2))</f>
        <v>1.5946567174346509</v>
      </c>
      <c r="O333" s="83">
        <f>IF(N333=1,1+(I333-1)*H333*'Externe blootstelling'!$D$23/2,1+(I333-1)*(N333^(H333*'Externe blootstelling'!$D$23/2)-1)/(N333-1))</f>
        <v>2.8696583592345775</v>
      </c>
      <c r="P333" s="67">
        <f>G333*EXP(-H333*'Externe blootstelling'!$D$23/2)*O333</f>
        <v>2.3938867113807352E-4</v>
      </c>
      <c r="Q333" s="68"/>
    </row>
    <row r="334" spans="1:17" x14ac:dyDescent="0.2">
      <c r="A334" s="217"/>
      <c r="B334" s="64" t="s">
        <v>104</v>
      </c>
      <c r="C334" s="66">
        <v>0.66467999999999994</v>
      </c>
      <c r="D334" s="66">
        <f t="shared" si="22"/>
        <v>1.0634879999999997E-13</v>
      </c>
      <c r="E334" s="66">
        <v>2.9E-4</v>
      </c>
      <c r="F334" s="66">
        <f>_xlfn.IFNA(INDEX('hp (pSv cm2)'!$B$2:$B$52,MATCH($C334,'hp (pSv cm2)'!$A$2:$A$52,1))+($C334-INDEX('hp (pSv cm2)'!$A$2:$A$52,MATCH($C334,'hp (pSv cm2)'!$A$2:$A$52,1)))*(INDEX('hp (pSv cm2)'!$B$2:$B$52,MATCH($C334,'hp (pSv cm2)'!$A$2:$A$52,1)+1)-INDEX('hp (pSv cm2)'!$B$2:$B$52,MATCH($C334,'hp (pSv cm2)'!$A$2:$A$52,1)))/(INDEX('hp (pSv cm2)'!$A$2:$A$52,MATCH($C334,'hp (pSv cm2)'!$A$2:$A$52,1)+1)-INDEX('hp (pSv cm2)'!$A$2:$A$52,MATCH($C334,'hp (pSv cm2)'!$A$2:$A$52,1))),$C334*'hp (pSv cm2)'!$B$2/'hp (pSv cm2)'!$A$2)</f>
        <v>3.1751879999999999</v>
      </c>
      <c r="G334" s="67">
        <f t="shared" si="23"/>
        <v>9.2080451999999998E-4</v>
      </c>
      <c r="H334" s="83">
        <f>_xlfn.IFNA(0.997*(INDEX('Mass attenuation coefficients'!$B$2:$B$37,MATCH($C334,'Mass attenuation coefficients'!$A$2:$A$37,1))+($C334-INDEX('Mass attenuation coefficients'!$A$2:$A$37,MATCH($C334,'Mass attenuation coefficients'!$A$2:$A$37,1)))*(INDEX('Mass attenuation coefficients'!$B$2:$B$37,MATCH($C334,'Mass attenuation coefficients'!$A$2:$A$37,1)+1)-INDEX('Mass attenuation coefficients'!$B$2:$B$37,MATCH($C334,'Mass attenuation coefficients'!$A$2:$A$37,1)))/(INDEX('Mass attenuation coefficients'!$A$2:$A$37,MATCH($C334,'Mass attenuation coefficients'!$A$2:$A$37,1)+1)-INDEX('Mass attenuation coefficients'!$A$2:$A$37,MATCH($C334,'Mass attenuation coefficients'!$A$2:$A$37,1)))),0.997*$C334*'Mass attenuation coefficients'!$B$2/'Mass attenuation coefficients'!$A$2)</f>
        <v>8.5773610882000001E-2</v>
      </c>
      <c r="I334" s="83">
        <f>_xlfn.IFNA(INDEX('Shultis Faw'!$C$2:$C$26,MATCH($C334,'Shultis Faw'!$A$2:$A$26,1))+($C334-INDEX('Shultis Faw'!$A$2:$A$26,MATCH($C334,'Shultis Faw'!$A$2:$A$26,1)))*(INDEX('Shultis Faw'!$C$2:$C$26,MATCH($C334,'Shultis Faw'!$A$2:$A$26,1)+1)-INDEX('Shultis Faw'!$C$2:$C$26,MATCH($C334,'Shultis Faw'!$A$2:$A$26,1)))/(INDEX('Shultis Faw'!$A$2:$A$26,MATCH($C334,'Shultis Faw'!$A$2:$A$26,1)+1)-INDEX('Shultis Faw'!$A$2:$A$26,MATCH($C334,'Shultis Faw'!$A$2:$A$26,1))),$C334*'Shultis Faw'!$C$2/'Shultis Faw'!$A$2)</f>
        <v>2.323639</v>
      </c>
      <c r="J334" s="83">
        <f>_xlfn.IFNA(INDEX('Shultis Faw'!$D$2:$D$26,MATCH($C334,'Shultis Faw'!$A$2:$A$26,1))+($C334-INDEX('Shultis Faw'!$A$2:$A$26,MATCH($C334,'Shultis Faw'!$A$2:$A$26,1)))*(INDEX('Shultis Faw'!$D$2:$D$26,MATCH($C334,'Shultis Faw'!$A$2:$A$26,1)+1)-INDEX('Shultis Faw'!$D$2:$D$26,MATCH($C334,'Shultis Faw'!$A$2:$A$26,1)))/(INDEX('Shultis Faw'!$A$2:$A$26,MATCH($C334,'Shultis Faw'!$A$2:$A$26,1)+1)-INDEX('Shultis Faw'!$A$2:$A$26,MATCH($C334,'Shultis Faw'!$A$2:$A$26,1))),$C334*'Shultis Faw'!$D$2/'Shultis Faw'!$A$2)</f>
        <v>1.6353410000000002</v>
      </c>
      <c r="K334" s="83">
        <f>_xlfn.IFNA(INDEX('Shultis Faw'!$B$2:$B$26,MATCH($C334,'Shultis Faw'!$A$2:$A$26,1))+($C334-INDEX('Shultis Faw'!$A$2:$A$26,MATCH($C334,'Shultis Faw'!$A$2:$A$26,1)))*(INDEX('Shultis Faw'!$B$2:$B$26,MATCH($C334,'Shultis Faw'!$A$2:$A$26,1)+1)-INDEX('Shultis Faw'!$B$2:$B$26,MATCH($C334,'Shultis Faw'!$A$2:$A$26,1)))/(INDEX('Shultis Faw'!$A$2:$A$26,MATCH($C334,'Shultis Faw'!$A$2:$A$26,1)+1)-INDEX('Shultis Faw'!$A$2:$A$26,MATCH($C334,'Shultis Faw'!$A$2:$A$26,1))),$C334*'Shultis Faw'!$B$2/'Shultis Faw'!$A$2)</f>
        <v>-0.1178554</v>
      </c>
      <c r="L334" s="83">
        <f>_xlfn.IFNA(INDEX('Shultis Faw'!$E$2:$E$26,MATCH($C334,'Shultis Faw'!$A$2:$A$26,1))+($C334-INDEX('Shultis Faw'!$A$2:$A$26,MATCH($C334,'Shultis Faw'!$A$2:$A$26,1)))*(INDEX('Shultis Faw'!$E$2:$E$26,MATCH($C334,'Shultis Faw'!$A$2:$A$26,1)+1)-INDEX('Shultis Faw'!$E$2:$E$26,MATCH($C334,'Shultis Faw'!$A$2:$A$26,1)))/(INDEX('Shultis Faw'!$A$2:$A$26,MATCH($C334,'Shultis Faw'!$A$2:$A$26,1)+1)-INDEX('Shultis Faw'!$A$2:$A$26,MATCH($C334,'Shultis Faw'!$A$2:$A$26,1))),$C334*'Shultis Faw'!$E$2/'Shultis Faw'!$A$2)</f>
        <v>4.8165560000000003E-2</v>
      </c>
      <c r="M334" s="83">
        <f>_xlfn.IFNA(INDEX('Shultis Faw'!$F$2:$F$26,MATCH($C334,'Shultis Faw'!$A$2:$A$26,1))+($C334-INDEX('Shultis Faw'!$A$2:$A$26,MATCH($C334,'Shultis Faw'!$A$2:$A$26,1)))*(INDEX('Shultis Faw'!$F$2:$F$26,MATCH($C334,'Shultis Faw'!$A$2:$A$26,1)+1)-INDEX('Shultis Faw'!$F$2:$F$26,MATCH($C334,'Shultis Faw'!$A$2:$A$26,1)))/(INDEX('Shultis Faw'!$A$2:$A$26,MATCH($C334,'Shultis Faw'!$A$2:$A$26,1)+1)-INDEX('Shultis Faw'!$A$2:$A$26,MATCH($C334,'Shultis Faw'!$A$2:$A$26,1))),$C334*'Shultis Faw'!$F$2/'Shultis Faw'!$A$2)</f>
        <v>14.272042000000001</v>
      </c>
      <c r="N334" s="83">
        <f>J334*(H334*'Externe blootstelling'!$D$23/2)^K334+L334*(TANH(((H334*'Externe blootstelling'!$D$23)/(2*M334))-2)-TANH(-2))/(1-TANH(-2))</f>
        <v>1.5876556137625899</v>
      </c>
      <c r="O334" s="83">
        <f>IF(N334=1,1+(I334-1)*H334*'Externe blootstelling'!$D$23/2,1+(I334-1)*(N334^(H334*'Externe blootstelling'!$D$23/2)-1)/(N334-1))</f>
        <v>2.830229116083737</v>
      </c>
      <c r="P334" s="67">
        <f>G334*EXP(-H334*'Externe blootstelling'!$D$23/2)*O334</f>
        <v>7.1982006500744943E-4</v>
      </c>
      <c r="Q334" s="68"/>
    </row>
    <row r="335" spans="1:17" x14ac:dyDescent="0.2">
      <c r="A335" s="217"/>
      <c r="B335" s="64" t="s">
        <v>104</v>
      </c>
      <c r="C335" s="66">
        <v>0.66889999999999994</v>
      </c>
      <c r="D335" s="66">
        <f t="shared" si="22"/>
        <v>1.0702399999999998E-13</v>
      </c>
      <c r="E335" s="66">
        <v>1.2999999999999999E-4</v>
      </c>
      <c r="F335" s="66">
        <f>_xlfn.IFNA(INDEX('hp (pSv cm2)'!$B$2:$B$52,MATCH($C335,'hp (pSv cm2)'!$A$2:$A$52,1))+($C335-INDEX('hp (pSv cm2)'!$A$2:$A$52,MATCH($C335,'hp (pSv cm2)'!$A$2:$A$52,1)))*(INDEX('hp (pSv cm2)'!$B$2:$B$52,MATCH($C335,'hp (pSv cm2)'!$A$2:$A$52,1)+1)-INDEX('hp (pSv cm2)'!$B$2:$B$52,MATCH($C335,'hp (pSv cm2)'!$A$2:$A$52,1)))/(INDEX('hp (pSv cm2)'!$A$2:$A$52,MATCH($C335,'hp (pSv cm2)'!$A$2:$A$52,1)+1)-INDEX('hp (pSv cm2)'!$A$2:$A$52,MATCH($C335,'hp (pSv cm2)'!$A$2:$A$52,1))),$C335*'hp (pSv cm2)'!$B$2/'hp (pSv cm2)'!$A$2)</f>
        <v>3.1924899999999998</v>
      </c>
      <c r="G335" s="67">
        <f t="shared" si="23"/>
        <v>4.1502369999999995E-4</v>
      </c>
      <c r="H335" s="83">
        <f>_xlfn.IFNA(0.997*(INDEX('Mass attenuation coefficients'!$B$2:$B$37,MATCH($C335,'Mass attenuation coefficients'!$A$2:$A$37,1))+($C335-INDEX('Mass attenuation coefficients'!$A$2:$A$37,MATCH($C335,'Mass attenuation coefficients'!$A$2:$A$37,1)))*(INDEX('Mass attenuation coefficients'!$B$2:$B$37,MATCH($C335,'Mass attenuation coefficients'!$A$2:$A$37,1)+1)-INDEX('Mass attenuation coefficients'!$B$2:$B$37,MATCH($C335,'Mass attenuation coefficients'!$A$2:$A$37,1)))/(INDEX('Mass attenuation coefficients'!$A$2:$A$37,MATCH($C335,'Mass attenuation coefficients'!$A$2:$A$37,1)+1)-INDEX('Mass attenuation coefficients'!$A$2:$A$37,MATCH($C335,'Mass attenuation coefficients'!$A$2:$A$37,1)))),0.997*$C335*'Mass attenuation coefficients'!$B$2/'Mass attenuation coefficients'!$A$2)</f>
        <v>8.5544100484999996E-2</v>
      </c>
      <c r="I335" s="83">
        <f>_xlfn.IFNA(INDEX('Shultis Faw'!$C$2:$C$26,MATCH($C335,'Shultis Faw'!$A$2:$A$26,1))+($C335-INDEX('Shultis Faw'!$A$2:$A$26,MATCH($C335,'Shultis Faw'!$A$2:$A$26,1)))*(INDEX('Shultis Faw'!$C$2:$C$26,MATCH($C335,'Shultis Faw'!$A$2:$A$26,1)+1)-INDEX('Shultis Faw'!$C$2:$C$26,MATCH($C335,'Shultis Faw'!$A$2:$A$26,1)))/(INDEX('Shultis Faw'!$A$2:$A$26,MATCH($C335,'Shultis Faw'!$A$2:$A$26,1)+1)-INDEX('Shultis Faw'!$A$2:$A$26,MATCH($C335,'Shultis Faw'!$A$2:$A$26,1))),$C335*'Shultis Faw'!$C$2/'Shultis Faw'!$A$2)</f>
        <v>2.3201575000000001</v>
      </c>
      <c r="J335" s="83">
        <f>_xlfn.IFNA(INDEX('Shultis Faw'!$D$2:$D$26,MATCH($C335,'Shultis Faw'!$A$2:$A$26,1))+($C335-INDEX('Shultis Faw'!$A$2:$A$26,MATCH($C335,'Shultis Faw'!$A$2:$A$26,1)))*(INDEX('Shultis Faw'!$D$2:$D$26,MATCH($C335,'Shultis Faw'!$A$2:$A$26,1)+1)-INDEX('Shultis Faw'!$D$2:$D$26,MATCH($C335,'Shultis Faw'!$A$2:$A$26,1)))/(INDEX('Shultis Faw'!$A$2:$A$26,MATCH($C335,'Shultis Faw'!$A$2:$A$26,1)+1)-INDEX('Shultis Faw'!$A$2:$A$26,MATCH($C335,'Shultis Faw'!$A$2:$A$26,1))),$C335*'Shultis Faw'!$D$2/'Shultis Faw'!$A$2)</f>
        <v>1.6324925000000001</v>
      </c>
      <c r="K335" s="83">
        <f>_xlfn.IFNA(INDEX('Shultis Faw'!$B$2:$B$26,MATCH($C335,'Shultis Faw'!$A$2:$A$26,1))+($C335-INDEX('Shultis Faw'!$A$2:$A$26,MATCH($C335,'Shultis Faw'!$A$2:$A$26,1)))*(INDEX('Shultis Faw'!$B$2:$B$26,MATCH($C335,'Shultis Faw'!$A$2:$A$26,1)+1)-INDEX('Shultis Faw'!$B$2:$B$26,MATCH($C335,'Shultis Faw'!$A$2:$A$26,1)))/(INDEX('Shultis Faw'!$A$2:$A$26,MATCH($C335,'Shultis Faw'!$A$2:$A$26,1)+1)-INDEX('Shultis Faw'!$A$2:$A$26,MATCH($C335,'Shultis Faw'!$A$2:$A$26,1))),$C335*'Shultis Faw'!$B$2/'Shultis Faw'!$A$2)</f>
        <v>-0.1174545</v>
      </c>
      <c r="L335" s="83">
        <f>_xlfn.IFNA(INDEX('Shultis Faw'!$E$2:$E$26,MATCH($C335,'Shultis Faw'!$A$2:$A$26,1))+($C335-INDEX('Shultis Faw'!$A$2:$A$26,MATCH($C335,'Shultis Faw'!$A$2:$A$26,1)))*(INDEX('Shultis Faw'!$E$2:$E$26,MATCH($C335,'Shultis Faw'!$A$2:$A$26,1)+1)-INDEX('Shultis Faw'!$E$2:$E$26,MATCH($C335,'Shultis Faw'!$A$2:$A$26,1)))/(INDEX('Shultis Faw'!$A$2:$A$26,MATCH($C335,'Shultis Faw'!$A$2:$A$26,1)+1)-INDEX('Shultis Faw'!$A$2:$A$26,MATCH($C335,'Shultis Faw'!$A$2:$A$26,1))),$C335*'Shultis Faw'!$E$2/'Shultis Faw'!$A$2)</f>
        <v>4.8026300000000001E-2</v>
      </c>
      <c r="M335" s="83">
        <f>_xlfn.IFNA(INDEX('Shultis Faw'!$F$2:$F$26,MATCH($C335,'Shultis Faw'!$A$2:$A$26,1))+($C335-INDEX('Shultis Faw'!$A$2:$A$26,MATCH($C335,'Shultis Faw'!$A$2:$A$26,1)))*(INDEX('Shultis Faw'!$F$2:$F$26,MATCH($C335,'Shultis Faw'!$A$2:$A$26,1)+1)-INDEX('Shultis Faw'!$F$2:$F$26,MATCH($C335,'Shultis Faw'!$A$2:$A$26,1)))/(INDEX('Shultis Faw'!$A$2:$A$26,MATCH($C335,'Shultis Faw'!$A$2:$A$26,1)+1)-INDEX('Shultis Faw'!$A$2:$A$26,MATCH($C335,'Shultis Faw'!$A$2:$A$26,1))),$C335*'Shultis Faw'!$F$2/'Shultis Faw'!$A$2)</f>
        <v>14.274785</v>
      </c>
      <c r="N335" s="83">
        <f>J335*(H335*'Externe blootstelling'!$D$23/2)^K335+L335*(TANH(((H335*'Externe blootstelling'!$D$23)/(2*M335))-2)-TANH(-2))/(1-TANH(-2))</f>
        <v>1.585548402342138</v>
      </c>
      <c r="O335" s="83">
        <f>IF(N335=1,1+(I335-1)*H335*'Externe blootstelling'!$D$23/2,1+(I335-1)*(N335^(H335*'Externe blootstelling'!$D$23/2)-1)/(N335-1))</f>
        <v>2.8185388048500331</v>
      </c>
      <c r="P335" s="67">
        <f>G335*EXP(-H335*'Externe blootstelling'!$D$23/2)*O335</f>
        <v>3.2421040919504104E-4</v>
      </c>
      <c r="Q335" s="68"/>
    </row>
    <row r="336" spans="1:17" x14ac:dyDescent="0.2">
      <c r="A336" s="217"/>
      <c r="B336" s="64" t="s">
        <v>104</v>
      </c>
      <c r="C336" s="66">
        <v>0.67659599999999998</v>
      </c>
      <c r="D336" s="66">
        <f t="shared" si="22"/>
        <v>1.0825536E-13</v>
      </c>
      <c r="E336" s="66">
        <v>1.57E-3</v>
      </c>
      <c r="F336" s="66">
        <f>_xlfn.IFNA(INDEX('hp (pSv cm2)'!$B$2:$B$52,MATCH($C336,'hp (pSv cm2)'!$A$2:$A$52,1))+($C336-INDEX('hp (pSv cm2)'!$A$2:$A$52,MATCH($C336,'hp (pSv cm2)'!$A$2:$A$52,1)))*(INDEX('hp (pSv cm2)'!$B$2:$B$52,MATCH($C336,'hp (pSv cm2)'!$A$2:$A$52,1)+1)-INDEX('hp (pSv cm2)'!$B$2:$B$52,MATCH($C336,'hp (pSv cm2)'!$A$2:$A$52,1)))/(INDEX('hp (pSv cm2)'!$A$2:$A$52,MATCH($C336,'hp (pSv cm2)'!$A$2:$A$52,1)+1)-INDEX('hp (pSv cm2)'!$A$2:$A$52,MATCH($C336,'hp (pSv cm2)'!$A$2:$A$52,1))),$C336*'hp (pSv cm2)'!$B$2/'hp (pSv cm2)'!$A$2)</f>
        <v>3.2240435999999999</v>
      </c>
      <c r="G336" s="67">
        <f t="shared" si="23"/>
        <v>5.0617484519999995E-3</v>
      </c>
      <c r="H336" s="83">
        <f>_xlfn.IFNA(0.997*(INDEX('Mass attenuation coefficients'!$B$2:$B$37,MATCH($C336,'Mass attenuation coefficients'!$A$2:$A$37,1))+($C336-INDEX('Mass attenuation coefficients'!$A$2:$A$37,MATCH($C336,'Mass attenuation coefficients'!$A$2:$A$37,1)))*(INDEX('Mass attenuation coefficients'!$B$2:$B$37,MATCH($C336,'Mass attenuation coefficients'!$A$2:$A$37,1)+1)-INDEX('Mass attenuation coefficients'!$B$2:$B$37,MATCH($C336,'Mass attenuation coefficients'!$A$2:$A$37,1)))/(INDEX('Mass attenuation coefficients'!$A$2:$A$37,MATCH($C336,'Mass attenuation coefficients'!$A$2:$A$37,1)+1)-INDEX('Mass attenuation coefficients'!$A$2:$A$37,MATCH($C336,'Mass attenuation coefficients'!$A$2:$A$37,1)))),0.997*$C336*'Mass attenuation coefficients'!$B$2/'Mass attenuation coefficients'!$A$2)</f>
        <v>8.5125543135399995E-2</v>
      </c>
      <c r="I336" s="83">
        <f>_xlfn.IFNA(INDEX('Shultis Faw'!$C$2:$C$26,MATCH($C336,'Shultis Faw'!$A$2:$A$26,1))+($C336-INDEX('Shultis Faw'!$A$2:$A$26,MATCH($C336,'Shultis Faw'!$A$2:$A$26,1)))*(INDEX('Shultis Faw'!$C$2:$C$26,MATCH($C336,'Shultis Faw'!$A$2:$A$26,1)+1)-INDEX('Shultis Faw'!$C$2:$C$26,MATCH($C336,'Shultis Faw'!$A$2:$A$26,1)))/(INDEX('Shultis Faw'!$A$2:$A$26,MATCH($C336,'Shultis Faw'!$A$2:$A$26,1)+1)-INDEX('Shultis Faw'!$A$2:$A$26,MATCH($C336,'Shultis Faw'!$A$2:$A$26,1))),$C336*'Shultis Faw'!$C$2/'Shultis Faw'!$A$2)</f>
        <v>2.3138082999999998</v>
      </c>
      <c r="J336" s="83">
        <f>_xlfn.IFNA(INDEX('Shultis Faw'!$D$2:$D$26,MATCH($C336,'Shultis Faw'!$A$2:$A$26,1))+($C336-INDEX('Shultis Faw'!$A$2:$A$26,MATCH($C336,'Shultis Faw'!$A$2:$A$26,1)))*(INDEX('Shultis Faw'!$D$2:$D$26,MATCH($C336,'Shultis Faw'!$A$2:$A$26,1)+1)-INDEX('Shultis Faw'!$D$2:$D$26,MATCH($C336,'Shultis Faw'!$A$2:$A$26,1)))/(INDEX('Shultis Faw'!$A$2:$A$26,MATCH($C336,'Shultis Faw'!$A$2:$A$26,1)+1)-INDEX('Shultis Faw'!$A$2:$A$26,MATCH($C336,'Shultis Faw'!$A$2:$A$26,1))),$C336*'Shultis Faw'!$D$2/'Shultis Faw'!$A$2)</f>
        <v>1.6272977</v>
      </c>
      <c r="K336" s="83">
        <f>_xlfn.IFNA(INDEX('Shultis Faw'!$B$2:$B$26,MATCH($C336,'Shultis Faw'!$A$2:$A$26,1))+($C336-INDEX('Shultis Faw'!$A$2:$A$26,MATCH($C336,'Shultis Faw'!$A$2:$A$26,1)))*(INDEX('Shultis Faw'!$B$2:$B$26,MATCH($C336,'Shultis Faw'!$A$2:$A$26,1)+1)-INDEX('Shultis Faw'!$B$2:$B$26,MATCH($C336,'Shultis Faw'!$A$2:$A$26,1)))/(INDEX('Shultis Faw'!$A$2:$A$26,MATCH($C336,'Shultis Faw'!$A$2:$A$26,1)+1)-INDEX('Shultis Faw'!$A$2:$A$26,MATCH($C336,'Shultis Faw'!$A$2:$A$26,1))),$C336*'Shultis Faw'!$B$2/'Shultis Faw'!$A$2)</f>
        <v>-0.11672338</v>
      </c>
      <c r="L336" s="83">
        <f>_xlfn.IFNA(INDEX('Shultis Faw'!$E$2:$E$26,MATCH($C336,'Shultis Faw'!$A$2:$A$26,1))+($C336-INDEX('Shultis Faw'!$A$2:$A$26,MATCH($C336,'Shultis Faw'!$A$2:$A$26,1)))*(INDEX('Shultis Faw'!$E$2:$E$26,MATCH($C336,'Shultis Faw'!$A$2:$A$26,1)+1)-INDEX('Shultis Faw'!$E$2:$E$26,MATCH($C336,'Shultis Faw'!$A$2:$A$26,1)))/(INDEX('Shultis Faw'!$A$2:$A$26,MATCH($C336,'Shultis Faw'!$A$2:$A$26,1)+1)-INDEX('Shultis Faw'!$A$2:$A$26,MATCH($C336,'Shultis Faw'!$A$2:$A$26,1))),$C336*'Shultis Faw'!$E$2/'Shultis Faw'!$A$2)</f>
        <v>4.7772332000000001E-2</v>
      </c>
      <c r="M336" s="83">
        <f>_xlfn.IFNA(INDEX('Shultis Faw'!$F$2:$F$26,MATCH($C336,'Shultis Faw'!$A$2:$A$26,1))+($C336-INDEX('Shultis Faw'!$A$2:$A$26,MATCH($C336,'Shultis Faw'!$A$2:$A$26,1)))*(INDEX('Shultis Faw'!$F$2:$F$26,MATCH($C336,'Shultis Faw'!$A$2:$A$26,1)+1)-INDEX('Shultis Faw'!$F$2:$F$26,MATCH($C336,'Shultis Faw'!$A$2:$A$26,1)))/(INDEX('Shultis Faw'!$A$2:$A$26,MATCH($C336,'Shultis Faw'!$A$2:$A$26,1)+1)-INDEX('Shultis Faw'!$A$2:$A$26,MATCH($C336,'Shultis Faw'!$A$2:$A$26,1))),$C336*'Shultis Faw'!$F$2/'Shultis Faw'!$A$2)</f>
        <v>14.2797874</v>
      </c>
      <c r="N336" s="83">
        <f>J336*(H336*'Externe blootstelling'!$D$23/2)^K336+L336*(TANH(((H336*'Externe blootstelling'!$D$23)/(2*M336))-2)-TANH(-2))/(1-TANH(-2))</f>
        <v>1.5816949577046009</v>
      </c>
      <c r="O336" s="83">
        <f>IF(N336=1,1+(I336-1)*H336*'Externe blootstelling'!$D$23/2,1+(I336-1)*(N336^(H336*'Externe blootstelling'!$D$23/2)-1)/(N336-1))</f>
        <v>2.7973689370510351</v>
      </c>
      <c r="P336" s="67">
        <f>G336*EXP(-H336*'Externe blootstelling'!$D$23/2)*O336</f>
        <v>3.9491806638961274E-3</v>
      </c>
      <c r="Q336" s="68"/>
    </row>
    <row r="337" spans="1:17" x14ac:dyDescent="0.2">
      <c r="A337" s="217"/>
      <c r="B337" s="64" t="s">
        <v>104</v>
      </c>
      <c r="C337" s="66">
        <v>0.69242049999999999</v>
      </c>
      <c r="D337" s="66">
        <f t="shared" ref="D337:D368" si="24">C337*1000000*1.6E-19</f>
        <v>1.1078728E-13</v>
      </c>
      <c r="E337" s="66">
        <v>1.7899999999999999E-2</v>
      </c>
      <c r="F337" s="66">
        <f>_xlfn.IFNA(INDEX('hp (pSv cm2)'!$B$2:$B$52,MATCH($C337,'hp (pSv cm2)'!$A$2:$A$52,1))+($C337-INDEX('hp (pSv cm2)'!$A$2:$A$52,MATCH($C337,'hp (pSv cm2)'!$A$2:$A$52,1)))*(INDEX('hp (pSv cm2)'!$B$2:$B$52,MATCH($C337,'hp (pSv cm2)'!$A$2:$A$52,1)+1)-INDEX('hp (pSv cm2)'!$B$2:$B$52,MATCH($C337,'hp (pSv cm2)'!$A$2:$A$52,1)))/(INDEX('hp (pSv cm2)'!$A$2:$A$52,MATCH($C337,'hp (pSv cm2)'!$A$2:$A$52,1)+1)-INDEX('hp (pSv cm2)'!$A$2:$A$52,MATCH($C337,'hp (pSv cm2)'!$A$2:$A$52,1))),$C337*'hp (pSv cm2)'!$B$2/'hp (pSv cm2)'!$A$2)</f>
        <v>3.2889240499999999</v>
      </c>
      <c r="G337" s="67">
        <f t="shared" ref="G337:G368" si="25">F337*E337</f>
        <v>5.8871740494999998E-2</v>
      </c>
      <c r="H337" s="83">
        <f>_xlfn.IFNA(0.997*(INDEX('Mass attenuation coefficients'!$B$2:$B$37,MATCH($C337,'Mass attenuation coefficients'!$A$2:$A$37,1))+($C337-INDEX('Mass attenuation coefficients'!$A$2:$A$37,MATCH($C337,'Mass attenuation coefficients'!$A$2:$A$37,1)))*(INDEX('Mass attenuation coefficients'!$B$2:$B$37,MATCH($C337,'Mass attenuation coefficients'!$A$2:$A$37,1)+1)-INDEX('Mass attenuation coefficients'!$B$2:$B$37,MATCH($C337,'Mass attenuation coefficients'!$A$2:$A$37,1)))/(INDEX('Mass attenuation coefficients'!$A$2:$A$37,MATCH($C337,'Mass attenuation coefficients'!$A$2:$A$37,1)+1)-INDEX('Mass attenuation coefficients'!$A$2:$A$37,MATCH($C337,'Mass attenuation coefficients'!$A$2:$A$37,1)))),0.997*$C337*'Mass attenuation coefficients'!$B$2/'Mass attenuation coefficients'!$A$2)</f>
        <v>8.4264906339824988E-2</v>
      </c>
      <c r="I337" s="83">
        <f>_xlfn.IFNA(INDEX('Shultis Faw'!$C$2:$C$26,MATCH($C337,'Shultis Faw'!$A$2:$A$26,1))+($C337-INDEX('Shultis Faw'!$A$2:$A$26,MATCH($C337,'Shultis Faw'!$A$2:$A$26,1)))*(INDEX('Shultis Faw'!$C$2:$C$26,MATCH($C337,'Shultis Faw'!$A$2:$A$26,1)+1)-INDEX('Shultis Faw'!$C$2:$C$26,MATCH($C337,'Shultis Faw'!$A$2:$A$26,1)))/(INDEX('Shultis Faw'!$A$2:$A$26,MATCH($C337,'Shultis Faw'!$A$2:$A$26,1)+1)-INDEX('Shultis Faw'!$A$2:$A$26,MATCH($C337,'Shultis Faw'!$A$2:$A$26,1))),$C337*'Shultis Faw'!$C$2/'Shultis Faw'!$A$2)</f>
        <v>2.3007530875</v>
      </c>
      <c r="J337" s="83">
        <f>_xlfn.IFNA(INDEX('Shultis Faw'!$D$2:$D$26,MATCH($C337,'Shultis Faw'!$A$2:$A$26,1))+($C337-INDEX('Shultis Faw'!$A$2:$A$26,MATCH($C337,'Shultis Faw'!$A$2:$A$26,1)))*(INDEX('Shultis Faw'!$D$2:$D$26,MATCH($C337,'Shultis Faw'!$A$2:$A$26,1)+1)-INDEX('Shultis Faw'!$D$2:$D$26,MATCH($C337,'Shultis Faw'!$A$2:$A$26,1)))/(INDEX('Shultis Faw'!$A$2:$A$26,MATCH($C337,'Shultis Faw'!$A$2:$A$26,1)+1)-INDEX('Shultis Faw'!$A$2:$A$26,MATCH($C337,'Shultis Faw'!$A$2:$A$26,1))),$C337*'Shultis Faw'!$D$2/'Shultis Faw'!$A$2)</f>
        <v>1.6166161625</v>
      </c>
      <c r="K337" s="83">
        <f>_xlfn.IFNA(INDEX('Shultis Faw'!$B$2:$B$26,MATCH($C337,'Shultis Faw'!$A$2:$A$26,1))+($C337-INDEX('Shultis Faw'!$A$2:$A$26,MATCH($C337,'Shultis Faw'!$A$2:$A$26,1)))*(INDEX('Shultis Faw'!$B$2:$B$26,MATCH($C337,'Shultis Faw'!$A$2:$A$26,1)+1)-INDEX('Shultis Faw'!$B$2:$B$26,MATCH($C337,'Shultis Faw'!$A$2:$A$26,1)))/(INDEX('Shultis Faw'!$A$2:$A$26,MATCH($C337,'Shultis Faw'!$A$2:$A$26,1)+1)-INDEX('Shultis Faw'!$A$2:$A$26,MATCH($C337,'Shultis Faw'!$A$2:$A$26,1))),$C337*'Shultis Faw'!$B$2/'Shultis Faw'!$A$2)</f>
        <v>-0.1152200525</v>
      </c>
      <c r="L337" s="83">
        <f>_xlfn.IFNA(INDEX('Shultis Faw'!$E$2:$E$26,MATCH($C337,'Shultis Faw'!$A$2:$A$26,1))+($C337-INDEX('Shultis Faw'!$A$2:$A$26,MATCH($C337,'Shultis Faw'!$A$2:$A$26,1)))*(INDEX('Shultis Faw'!$E$2:$E$26,MATCH($C337,'Shultis Faw'!$A$2:$A$26,1)+1)-INDEX('Shultis Faw'!$E$2:$E$26,MATCH($C337,'Shultis Faw'!$A$2:$A$26,1)))/(INDEX('Shultis Faw'!$A$2:$A$26,MATCH($C337,'Shultis Faw'!$A$2:$A$26,1)+1)-INDEX('Shultis Faw'!$A$2:$A$26,MATCH($C337,'Shultis Faw'!$A$2:$A$26,1))),$C337*'Shultis Faw'!$E$2/'Shultis Faw'!$A$2)</f>
        <v>4.7250123499999998E-2</v>
      </c>
      <c r="M337" s="83">
        <f>_xlfn.IFNA(INDEX('Shultis Faw'!$F$2:$F$26,MATCH($C337,'Shultis Faw'!$A$2:$A$26,1))+($C337-INDEX('Shultis Faw'!$A$2:$A$26,MATCH($C337,'Shultis Faw'!$A$2:$A$26,1)))*(INDEX('Shultis Faw'!$F$2:$F$26,MATCH($C337,'Shultis Faw'!$A$2:$A$26,1)+1)-INDEX('Shultis Faw'!$F$2:$F$26,MATCH($C337,'Shultis Faw'!$A$2:$A$26,1)))/(INDEX('Shultis Faw'!$A$2:$A$26,MATCH($C337,'Shultis Faw'!$A$2:$A$26,1)+1)-INDEX('Shultis Faw'!$A$2:$A$26,MATCH($C337,'Shultis Faw'!$A$2:$A$26,1))),$C337*'Shultis Faw'!$F$2/'Shultis Faw'!$A$2)</f>
        <v>14.290073325</v>
      </c>
      <c r="N337" s="83">
        <f>J337*(H337*'Externe blootstelling'!$D$23/2)^K337+L337*(TANH(((H337*'Externe blootstelling'!$D$23)/(2*M337))-2)-TANH(-2))/(1-TANH(-2))</f>
        <v>1.5737287841856735</v>
      </c>
      <c r="O337" s="83">
        <f>IF(N337=1,1+(I337-1)*H337*'Externe blootstelling'!$D$23/2,1+(I337-1)*(N337^(H337*'Externe blootstelling'!$D$23/2)-1)/(N337-1))</f>
        <v>2.754441103127804</v>
      </c>
      <c r="P337" s="67">
        <f>G337*EXP(-H337*'Externe blootstelling'!$D$23/2)*O337</f>
        <v>4.5814569331568106E-2</v>
      </c>
      <c r="Q337" s="68"/>
    </row>
    <row r="338" spans="1:17" x14ac:dyDescent="0.2">
      <c r="A338" s="217"/>
      <c r="B338" s="64" t="s">
        <v>104</v>
      </c>
      <c r="C338" s="66">
        <v>0.71577000000000002</v>
      </c>
      <c r="D338" s="66">
        <f t="shared" si="24"/>
        <v>1.1452320000000001E-13</v>
      </c>
      <c r="E338" s="66">
        <v>1.9E-3</v>
      </c>
      <c r="F338" s="66">
        <f>_xlfn.IFNA(INDEX('hp (pSv cm2)'!$B$2:$B$52,MATCH($C338,'hp (pSv cm2)'!$A$2:$A$52,1))+($C338-INDEX('hp (pSv cm2)'!$A$2:$A$52,MATCH($C338,'hp (pSv cm2)'!$A$2:$A$52,1)))*(INDEX('hp (pSv cm2)'!$B$2:$B$52,MATCH($C338,'hp (pSv cm2)'!$A$2:$A$52,1)+1)-INDEX('hp (pSv cm2)'!$B$2:$B$52,MATCH($C338,'hp (pSv cm2)'!$A$2:$A$52,1)))/(INDEX('hp (pSv cm2)'!$A$2:$A$52,MATCH($C338,'hp (pSv cm2)'!$A$2:$A$52,1)+1)-INDEX('hp (pSv cm2)'!$A$2:$A$52,MATCH($C338,'hp (pSv cm2)'!$A$2:$A$52,1))),$C338*'hp (pSv cm2)'!$B$2/'hp (pSv cm2)'!$A$2)</f>
        <v>3.3846569999999998</v>
      </c>
      <c r="G338" s="67">
        <f t="shared" si="25"/>
        <v>6.4308483E-3</v>
      </c>
      <c r="H338" s="83">
        <f>_xlfn.IFNA(0.997*(INDEX('Mass attenuation coefficients'!$B$2:$B$37,MATCH($C338,'Mass attenuation coefficients'!$A$2:$A$37,1))+($C338-INDEX('Mass attenuation coefficients'!$A$2:$A$37,MATCH($C338,'Mass attenuation coefficients'!$A$2:$A$37,1)))*(INDEX('Mass attenuation coefficients'!$B$2:$B$37,MATCH($C338,'Mass attenuation coefficients'!$A$2:$A$37,1)+1)-INDEX('Mass attenuation coefficients'!$B$2:$B$37,MATCH($C338,'Mass attenuation coefficients'!$A$2:$A$37,1)))/(INDEX('Mass attenuation coefficients'!$A$2:$A$37,MATCH($C338,'Mass attenuation coefficients'!$A$2:$A$37,1)+1)-INDEX('Mass attenuation coefficients'!$A$2:$A$37,MATCH($C338,'Mass attenuation coefficients'!$A$2:$A$37,1)))),0.997*$C338*'Mass attenuation coefficients'!$B$2/'Mass attenuation coefficients'!$A$2)</f>
        <v>8.299501226049999E-2</v>
      </c>
      <c r="I338" s="83">
        <f>_xlfn.IFNA(INDEX('Shultis Faw'!$C$2:$C$26,MATCH($C338,'Shultis Faw'!$A$2:$A$26,1))+($C338-INDEX('Shultis Faw'!$A$2:$A$26,MATCH($C338,'Shultis Faw'!$A$2:$A$26,1)))*(INDEX('Shultis Faw'!$C$2:$C$26,MATCH($C338,'Shultis Faw'!$A$2:$A$26,1)+1)-INDEX('Shultis Faw'!$C$2:$C$26,MATCH($C338,'Shultis Faw'!$A$2:$A$26,1)))/(INDEX('Shultis Faw'!$A$2:$A$26,MATCH($C338,'Shultis Faw'!$A$2:$A$26,1)+1)-INDEX('Shultis Faw'!$A$2:$A$26,MATCH($C338,'Shultis Faw'!$A$2:$A$26,1))),$C338*'Shultis Faw'!$C$2/'Shultis Faw'!$A$2)</f>
        <v>2.28148975</v>
      </c>
      <c r="J338" s="83">
        <f>_xlfn.IFNA(INDEX('Shultis Faw'!$D$2:$D$26,MATCH($C338,'Shultis Faw'!$A$2:$A$26,1))+($C338-INDEX('Shultis Faw'!$A$2:$A$26,MATCH($C338,'Shultis Faw'!$A$2:$A$26,1)))*(INDEX('Shultis Faw'!$D$2:$D$26,MATCH($C338,'Shultis Faw'!$A$2:$A$26,1)+1)-INDEX('Shultis Faw'!$D$2:$D$26,MATCH($C338,'Shultis Faw'!$A$2:$A$26,1)))/(INDEX('Shultis Faw'!$A$2:$A$26,MATCH($C338,'Shultis Faw'!$A$2:$A$26,1)+1)-INDEX('Shultis Faw'!$A$2:$A$26,MATCH($C338,'Shultis Faw'!$A$2:$A$26,1))),$C338*'Shultis Faw'!$D$2/'Shultis Faw'!$A$2)</f>
        <v>1.60085525</v>
      </c>
      <c r="K338" s="83">
        <f>_xlfn.IFNA(INDEX('Shultis Faw'!$B$2:$B$26,MATCH($C338,'Shultis Faw'!$A$2:$A$26,1))+($C338-INDEX('Shultis Faw'!$A$2:$A$26,MATCH($C338,'Shultis Faw'!$A$2:$A$26,1)))*(INDEX('Shultis Faw'!$B$2:$B$26,MATCH($C338,'Shultis Faw'!$A$2:$A$26,1)+1)-INDEX('Shultis Faw'!$B$2:$B$26,MATCH($C338,'Shultis Faw'!$A$2:$A$26,1)))/(INDEX('Shultis Faw'!$A$2:$A$26,MATCH($C338,'Shultis Faw'!$A$2:$A$26,1)+1)-INDEX('Shultis Faw'!$A$2:$A$26,MATCH($C338,'Shultis Faw'!$A$2:$A$26,1))),$C338*'Shultis Faw'!$B$2/'Shultis Faw'!$A$2)</f>
        <v>-0.11300185</v>
      </c>
      <c r="L338" s="83">
        <f>_xlfn.IFNA(INDEX('Shultis Faw'!$E$2:$E$26,MATCH($C338,'Shultis Faw'!$A$2:$A$26,1))+($C338-INDEX('Shultis Faw'!$A$2:$A$26,MATCH($C338,'Shultis Faw'!$A$2:$A$26,1)))*(INDEX('Shultis Faw'!$E$2:$E$26,MATCH($C338,'Shultis Faw'!$A$2:$A$26,1)+1)-INDEX('Shultis Faw'!$E$2:$E$26,MATCH($C338,'Shultis Faw'!$A$2:$A$26,1)))/(INDEX('Shultis Faw'!$A$2:$A$26,MATCH($C338,'Shultis Faw'!$A$2:$A$26,1)+1)-INDEX('Shultis Faw'!$A$2:$A$26,MATCH($C338,'Shultis Faw'!$A$2:$A$26,1))),$C338*'Shultis Faw'!$E$2/'Shultis Faw'!$A$2)</f>
        <v>4.6479590000000001E-2</v>
      </c>
      <c r="M338" s="83">
        <f>_xlfn.IFNA(INDEX('Shultis Faw'!$F$2:$F$26,MATCH($C338,'Shultis Faw'!$A$2:$A$26,1))+($C338-INDEX('Shultis Faw'!$A$2:$A$26,MATCH($C338,'Shultis Faw'!$A$2:$A$26,1)))*(INDEX('Shultis Faw'!$F$2:$F$26,MATCH($C338,'Shultis Faw'!$A$2:$A$26,1)+1)-INDEX('Shultis Faw'!$F$2:$F$26,MATCH($C338,'Shultis Faw'!$A$2:$A$26,1)))/(INDEX('Shultis Faw'!$A$2:$A$26,MATCH($C338,'Shultis Faw'!$A$2:$A$26,1)+1)-INDEX('Shultis Faw'!$A$2:$A$26,MATCH($C338,'Shultis Faw'!$A$2:$A$26,1))),$C338*'Shultis Faw'!$F$2/'Shultis Faw'!$A$2)</f>
        <v>14.3052505</v>
      </c>
      <c r="N338" s="83">
        <f>J338*(H338*'Externe blootstelling'!$D$23/2)^K338+L338*(TANH(((H338*'Externe blootstelling'!$D$23)/(2*M338))-2)-TANH(-2))/(1-TANH(-2))</f>
        <v>1.5618695087420364</v>
      </c>
      <c r="O338" s="83">
        <f>IF(N338=1,1+(I338-1)*H338*'Externe blootstelling'!$D$23/2,1+(I338-1)*(N338^(H338*'Externe blootstelling'!$D$23/2)-1)/(N338-1))</f>
        <v>2.692553615036287</v>
      </c>
      <c r="P338" s="67">
        <f>G338*EXP(-H338*'Externe blootstelling'!$D$23/2)*O338</f>
        <v>4.9861861387490288E-3</v>
      </c>
      <c r="Q338" s="68"/>
    </row>
    <row r="339" spans="1:17" x14ac:dyDescent="0.2">
      <c r="A339" s="217"/>
      <c r="B339" s="64" t="s">
        <v>104</v>
      </c>
      <c r="C339" s="66">
        <v>0.72330139999999998</v>
      </c>
      <c r="D339" s="66">
        <f t="shared" si="24"/>
        <v>1.1572822399999999E-13</v>
      </c>
      <c r="E339" s="66">
        <v>0.20050000000000001</v>
      </c>
      <c r="F339" s="66">
        <f>_xlfn.IFNA(INDEX('hp (pSv cm2)'!$B$2:$B$52,MATCH($C339,'hp (pSv cm2)'!$A$2:$A$52,1))+($C339-INDEX('hp (pSv cm2)'!$A$2:$A$52,MATCH($C339,'hp (pSv cm2)'!$A$2:$A$52,1)))*(INDEX('hp (pSv cm2)'!$B$2:$B$52,MATCH($C339,'hp (pSv cm2)'!$A$2:$A$52,1)+1)-INDEX('hp (pSv cm2)'!$B$2:$B$52,MATCH($C339,'hp (pSv cm2)'!$A$2:$A$52,1)))/(INDEX('hp (pSv cm2)'!$A$2:$A$52,MATCH($C339,'hp (pSv cm2)'!$A$2:$A$52,1)+1)-INDEX('hp (pSv cm2)'!$A$2:$A$52,MATCH($C339,'hp (pSv cm2)'!$A$2:$A$52,1))),$C339*'hp (pSv cm2)'!$B$2/'hp (pSv cm2)'!$A$2)</f>
        <v>3.4155357399999997</v>
      </c>
      <c r="G339" s="67">
        <f t="shared" si="25"/>
        <v>0.68481491586999998</v>
      </c>
      <c r="H339" s="83">
        <f>_xlfn.IFNA(0.997*(INDEX('Mass attenuation coefficients'!$B$2:$B$37,MATCH($C339,'Mass attenuation coefficients'!$A$2:$A$37,1))+($C339-INDEX('Mass attenuation coefficients'!$A$2:$A$37,MATCH($C339,'Mass attenuation coefficients'!$A$2:$A$37,1)))*(INDEX('Mass attenuation coefficients'!$B$2:$B$37,MATCH($C339,'Mass attenuation coefficients'!$A$2:$A$37,1)+1)-INDEX('Mass attenuation coefficients'!$B$2:$B$37,MATCH($C339,'Mass attenuation coefficients'!$A$2:$A$37,1)))/(INDEX('Mass attenuation coefficients'!$A$2:$A$37,MATCH($C339,'Mass attenuation coefficients'!$A$2:$A$37,1)+1)-INDEX('Mass attenuation coefficients'!$A$2:$A$37,MATCH($C339,'Mass attenuation coefficients'!$A$2:$A$37,1)))),0.997*$C339*'Mass attenuation coefficients'!$B$2/'Mass attenuation coefficients'!$A$2)</f>
        <v>8.2585406904109995E-2</v>
      </c>
      <c r="I339" s="83">
        <f>_xlfn.IFNA(INDEX('Shultis Faw'!$C$2:$C$26,MATCH($C339,'Shultis Faw'!$A$2:$A$26,1))+($C339-INDEX('Shultis Faw'!$A$2:$A$26,MATCH($C339,'Shultis Faw'!$A$2:$A$26,1)))*(INDEX('Shultis Faw'!$C$2:$C$26,MATCH($C339,'Shultis Faw'!$A$2:$A$26,1)+1)-INDEX('Shultis Faw'!$C$2:$C$26,MATCH($C339,'Shultis Faw'!$A$2:$A$26,1)))/(INDEX('Shultis Faw'!$A$2:$A$26,MATCH($C339,'Shultis Faw'!$A$2:$A$26,1)+1)-INDEX('Shultis Faw'!$A$2:$A$26,MATCH($C339,'Shultis Faw'!$A$2:$A$26,1))),$C339*'Shultis Faw'!$C$2/'Shultis Faw'!$A$2)</f>
        <v>2.275276345</v>
      </c>
      <c r="J339" s="83">
        <f>_xlfn.IFNA(INDEX('Shultis Faw'!$D$2:$D$26,MATCH($C339,'Shultis Faw'!$A$2:$A$26,1))+($C339-INDEX('Shultis Faw'!$A$2:$A$26,MATCH($C339,'Shultis Faw'!$A$2:$A$26,1)))*(INDEX('Shultis Faw'!$D$2:$D$26,MATCH($C339,'Shultis Faw'!$A$2:$A$26,1)+1)-INDEX('Shultis Faw'!$D$2:$D$26,MATCH($C339,'Shultis Faw'!$A$2:$A$26,1)))/(INDEX('Shultis Faw'!$A$2:$A$26,MATCH($C339,'Shultis Faw'!$A$2:$A$26,1)+1)-INDEX('Shultis Faw'!$A$2:$A$26,MATCH($C339,'Shultis Faw'!$A$2:$A$26,1))),$C339*'Shultis Faw'!$D$2/'Shultis Faw'!$A$2)</f>
        <v>1.595771555</v>
      </c>
      <c r="K339" s="83">
        <f>_xlfn.IFNA(INDEX('Shultis Faw'!$B$2:$B$26,MATCH($C339,'Shultis Faw'!$A$2:$A$26,1))+($C339-INDEX('Shultis Faw'!$A$2:$A$26,MATCH($C339,'Shultis Faw'!$A$2:$A$26,1)))*(INDEX('Shultis Faw'!$B$2:$B$26,MATCH($C339,'Shultis Faw'!$A$2:$A$26,1)+1)-INDEX('Shultis Faw'!$B$2:$B$26,MATCH($C339,'Shultis Faw'!$A$2:$A$26,1)))/(INDEX('Shultis Faw'!$A$2:$A$26,MATCH($C339,'Shultis Faw'!$A$2:$A$26,1)+1)-INDEX('Shultis Faw'!$A$2:$A$26,MATCH($C339,'Shultis Faw'!$A$2:$A$26,1))),$C339*'Shultis Faw'!$B$2/'Shultis Faw'!$A$2)</f>
        <v>-0.112286367</v>
      </c>
      <c r="L339" s="83">
        <f>_xlfn.IFNA(INDEX('Shultis Faw'!$E$2:$E$26,MATCH($C339,'Shultis Faw'!$A$2:$A$26,1))+($C339-INDEX('Shultis Faw'!$A$2:$A$26,MATCH($C339,'Shultis Faw'!$A$2:$A$26,1)))*(INDEX('Shultis Faw'!$E$2:$E$26,MATCH($C339,'Shultis Faw'!$A$2:$A$26,1)+1)-INDEX('Shultis Faw'!$E$2:$E$26,MATCH($C339,'Shultis Faw'!$A$2:$A$26,1)))/(INDEX('Shultis Faw'!$A$2:$A$26,MATCH($C339,'Shultis Faw'!$A$2:$A$26,1)+1)-INDEX('Shultis Faw'!$A$2:$A$26,MATCH($C339,'Shultis Faw'!$A$2:$A$26,1))),$C339*'Shultis Faw'!$E$2/'Shultis Faw'!$A$2)</f>
        <v>4.6231053800000005E-2</v>
      </c>
      <c r="M339" s="83">
        <f>_xlfn.IFNA(INDEX('Shultis Faw'!$F$2:$F$26,MATCH($C339,'Shultis Faw'!$A$2:$A$26,1))+($C339-INDEX('Shultis Faw'!$A$2:$A$26,MATCH($C339,'Shultis Faw'!$A$2:$A$26,1)))*(INDEX('Shultis Faw'!$F$2:$F$26,MATCH($C339,'Shultis Faw'!$A$2:$A$26,1)+1)-INDEX('Shultis Faw'!$F$2:$F$26,MATCH($C339,'Shultis Faw'!$A$2:$A$26,1)))/(INDEX('Shultis Faw'!$A$2:$A$26,MATCH($C339,'Shultis Faw'!$A$2:$A$26,1)+1)-INDEX('Shultis Faw'!$A$2:$A$26,MATCH($C339,'Shultis Faw'!$A$2:$A$26,1))),$C339*'Shultis Faw'!$F$2/'Shultis Faw'!$A$2)</f>
        <v>14.310145909999999</v>
      </c>
      <c r="N339" s="83">
        <f>J339*(H339*'Externe blootstelling'!$D$23/2)^K339+L339*(TANH(((H339*'Externe blootstelling'!$D$23)/(2*M339))-2)-TANH(-2))/(1-TANH(-2))</f>
        <v>1.5580176152097582</v>
      </c>
      <c r="O339" s="83">
        <f>IF(N339=1,1+(I339-1)*H339*'Externe blootstelling'!$D$23/2,1+(I339-1)*(N339^(H339*'Externe blootstelling'!$D$23/2)-1)/(N339-1))</f>
        <v>2.6729552216133126</v>
      </c>
      <c r="P339" s="67">
        <f>G339*EXP(-H339*'Externe blootstelling'!$D$23/2)*O339</f>
        <v>0.53035796662597989</v>
      </c>
      <c r="Q339" s="68"/>
    </row>
    <row r="340" spans="1:17" x14ac:dyDescent="0.2">
      <c r="A340" s="217"/>
      <c r="B340" s="64" t="s">
        <v>104</v>
      </c>
      <c r="C340" s="66">
        <v>0.73760000000000003</v>
      </c>
      <c r="D340" s="66">
        <f t="shared" si="24"/>
        <v>1.18016E-13</v>
      </c>
      <c r="E340" s="66">
        <v>6.3E-5</v>
      </c>
      <c r="F340" s="66">
        <f>_xlfn.IFNA(INDEX('hp (pSv cm2)'!$B$2:$B$52,MATCH($C340,'hp (pSv cm2)'!$A$2:$A$52,1))+($C340-INDEX('hp (pSv cm2)'!$A$2:$A$52,MATCH($C340,'hp (pSv cm2)'!$A$2:$A$52,1)))*(INDEX('hp (pSv cm2)'!$B$2:$B$52,MATCH($C340,'hp (pSv cm2)'!$A$2:$A$52,1)+1)-INDEX('hp (pSv cm2)'!$B$2:$B$52,MATCH($C340,'hp (pSv cm2)'!$A$2:$A$52,1)))/(INDEX('hp (pSv cm2)'!$A$2:$A$52,MATCH($C340,'hp (pSv cm2)'!$A$2:$A$52,1)+1)-INDEX('hp (pSv cm2)'!$A$2:$A$52,MATCH($C340,'hp (pSv cm2)'!$A$2:$A$52,1))),$C340*'hp (pSv cm2)'!$B$2/'hp (pSv cm2)'!$A$2)</f>
        <v>3.4741600000000004</v>
      </c>
      <c r="G340" s="67">
        <f t="shared" si="25"/>
        <v>2.1887208000000003E-4</v>
      </c>
      <c r="H340" s="83">
        <f>_xlfn.IFNA(0.997*(INDEX('Mass attenuation coefficients'!$B$2:$B$37,MATCH($C340,'Mass attenuation coefficients'!$A$2:$A$37,1))+($C340-INDEX('Mass attenuation coefficients'!$A$2:$A$37,MATCH($C340,'Mass attenuation coefficients'!$A$2:$A$37,1)))*(INDEX('Mass attenuation coefficients'!$B$2:$B$37,MATCH($C340,'Mass attenuation coefficients'!$A$2:$A$37,1)+1)-INDEX('Mass attenuation coefficients'!$B$2:$B$37,MATCH($C340,'Mass attenuation coefficients'!$A$2:$A$37,1)))/(INDEX('Mass attenuation coefficients'!$A$2:$A$37,MATCH($C340,'Mass attenuation coefficients'!$A$2:$A$37,1)+1)-INDEX('Mass attenuation coefficients'!$A$2:$A$37,MATCH($C340,'Mass attenuation coefficients'!$A$2:$A$37,1)))),0.997*$C340*'Mass attenuation coefficients'!$B$2/'Mass attenuation coefficients'!$A$2)</f>
        <v>8.180775824E-2</v>
      </c>
      <c r="I340" s="83">
        <f>_xlfn.IFNA(INDEX('Shultis Faw'!$C$2:$C$26,MATCH($C340,'Shultis Faw'!$A$2:$A$26,1))+($C340-INDEX('Shultis Faw'!$A$2:$A$26,MATCH($C340,'Shultis Faw'!$A$2:$A$26,1)))*(INDEX('Shultis Faw'!$C$2:$C$26,MATCH($C340,'Shultis Faw'!$A$2:$A$26,1)+1)-INDEX('Shultis Faw'!$C$2:$C$26,MATCH($C340,'Shultis Faw'!$A$2:$A$26,1)))/(INDEX('Shultis Faw'!$A$2:$A$26,MATCH($C340,'Shultis Faw'!$A$2:$A$26,1)+1)-INDEX('Shultis Faw'!$A$2:$A$26,MATCH($C340,'Shultis Faw'!$A$2:$A$26,1))),$C340*'Shultis Faw'!$C$2/'Shultis Faw'!$A$2)</f>
        <v>2.2634799999999999</v>
      </c>
      <c r="J340" s="83">
        <f>_xlfn.IFNA(INDEX('Shultis Faw'!$D$2:$D$26,MATCH($C340,'Shultis Faw'!$A$2:$A$26,1))+($C340-INDEX('Shultis Faw'!$A$2:$A$26,MATCH($C340,'Shultis Faw'!$A$2:$A$26,1)))*(INDEX('Shultis Faw'!$D$2:$D$26,MATCH($C340,'Shultis Faw'!$A$2:$A$26,1)+1)-INDEX('Shultis Faw'!$D$2:$D$26,MATCH($C340,'Shultis Faw'!$A$2:$A$26,1)))/(INDEX('Shultis Faw'!$A$2:$A$26,MATCH($C340,'Shultis Faw'!$A$2:$A$26,1)+1)-INDEX('Shultis Faw'!$A$2:$A$26,MATCH($C340,'Shultis Faw'!$A$2:$A$26,1))),$C340*'Shultis Faw'!$D$2/'Shultis Faw'!$A$2)</f>
        <v>1.58612</v>
      </c>
      <c r="K340" s="83">
        <f>_xlfn.IFNA(INDEX('Shultis Faw'!$B$2:$B$26,MATCH($C340,'Shultis Faw'!$A$2:$A$26,1))+($C340-INDEX('Shultis Faw'!$A$2:$A$26,MATCH($C340,'Shultis Faw'!$A$2:$A$26,1)))*(INDEX('Shultis Faw'!$B$2:$B$26,MATCH($C340,'Shultis Faw'!$A$2:$A$26,1)+1)-INDEX('Shultis Faw'!$B$2:$B$26,MATCH($C340,'Shultis Faw'!$A$2:$A$26,1)))/(INDEX('Shultis Faw'!$A$2:$A$26,MATCH($C340,'Shultis Faw'!$A$2:$A$26,1)+1)-INDEX('Shultis Faw'!$A$2:$A$26,MATCH($C340,'Shultis Faw'!$A$2:$A$26,1))),$C340*'Shultis Faw'!$B$2/'Shultis Faw'!$A$2)</f>
        <v>-0.110928</v>
      </c>
      <c r="L340" s="83">
        <f>_xlfn.IFNA(INDEX('Shultis Faw'!$E$2:$E$26,MATCH($C340,'Shultis Faw'!$A$2:$A$26,1))+($C340-INDEX('Shultis Faw'!$A$2:$A$26,MATCH($C340,'Shultis Faw'!$A$2:$A$26,1)))*(INDEX('Shultis Faw'!$E$2:$E$26,MATCH($C340,'Shultis Faw'!$A$2:$A$26,1)+1)-INDEX('Shultis Faw'!$E$2:$E$26,MATCH($C340,'Shultis Faw'!$A$2:$A$26,1)))/(INDEX('Shultis Faw'!$A$2:$A$26,MATCH($C340,'Shultis Faw'!$A$2:$A$26,1)+1)-INDEX('Shultis Faw'!$A$2:$A$26,MATCH($C340,'Shultis Faw'!$A$2:$A$26,1))),$C340*'Shultis Faw'!$E$2/'Shultis Faw'!$A$2)</f>
        <v>4.57592E-2</v>
      </c>
      <c r="M340" s="83">
        <f>_xlfn.IFNA(INDEX('Shultis Faw'!$F$2:$F$26,MATCH($C340,'Shultis Faw'!$A$2:$A$26,1))+($C340-INDEX('Shultis Faw'!$A$2:$A$26,MATCH($C340,'Shultis Faw'!$A$2:$A$26,1)))*(INDEX('Shultis Faw'!$F$2:$F$26,MATCH($C340,'Shultis Faw'!$A$2:$A$26,1)+1)-INDEX('Shultis Faw'!$F$2:$F$26,MATCH($C340,'Shultis Faw'!$A$2:$A$26,1)))/(INDEX('Shultis Faw'!$A$2:$A$26,MATCH($C340,'Shultis Faw'!$A$2:$A$26,1)+1)-INDEX('Shultis Faw'!$A$2:$A$26,MATCH($C340,'Shultis Faw'!$A$2:$A$26,1))),$C340*'Shultis Faw'!$F$2/'Shultis Faw'!$A$2)</f>
        <v>14.31944</v>
      </c>
      <c r="N340" s="83">
        <f>J340*(H340*'Externe blootstelling'!$D$23/2)^K340+L340*(TANH(((H340*'Externe blootstelling'!$D$23)/(2*M340))-2)-TANH(-2))/(1-TANH(-2))</f>
        <v>1.5506688932786716</v>
      </c>
      <c r="O340" s="83">
        <f>IF(N340=1,1+(I340-1)*H340*'Externe blootstelling'!$D$23/2,1+(I340-1)*(N340^(H340*'Externe blootstelling'!$D$23/2)-1)/(N340-1))</f>
        <v>2.63622696492979</v>
      </c>
      <c r="P340" s="67">
        <f>G340*EXP(-H340*'Externe blootstelling'!$D$23/2)*O340</f>
        <v>1.6913881882686492E-4</v>
      </c>
      <c r="Q340" s="68"/>
    </row>
    <row r="341" spans="1:17" x14ac:dyDescent="0.2">
      <c r="A341" s="217"/>
      <c r="B341" s="64" t="s">
        <v>104</v>
      </c>
      <c r="C341" s="66">
        <v>0.75680199999999997</v>
      </c>
      <c r="D341" s="66">
        <f t="shared" si="24"/>
        <v>1.2108831999999999E-13</v>
      </c>
      <c r="E341" s="66">
        <v>4.53E-2</v>
      </c>
      <c r="F341" s="66">
        <f>_xlfn.IFNA(INDEX('hp (pSv cm2)'!$B$2:$B$52,MATCH($C341,'hp (pSv cm2)'!$A$2:$A$52,1))+($C341-INDEX('hp (pSv cm2)'!$A$2:$A$52,MATCH($C341,'hp (pSv cm2)'!$A$2:$A$52,1)))*(INDEX('hp (pSv cm2)'!$B$2:$B$52,MATCH($C341,'hp (pSv cm2)'!$A$2:$A$52,1)+1)-INDEX('hp (pSv cm2)'!$B$2:$B$52,MATCH($C341,'hp (pSv cm2)'!$A$2:$A$52,1)))/(INDEX('hp (pSv cm2)'!$A$2:$A$52,MATCH($C341,'hp (pSv cm2)'!$A$2:$A$52,1)+1)-INDEX('hp (pSv cm2)'!$A$2:$A$52,MATCH($C341,'hp (pSv cm2)'!$A$2:$A$52,1))),$C341*'hp (pSv cm2)'!$B$2/'hp (pSv cm2)'!$A$2)</f>
        <v>3.5528881999999999</v>
      </c>
      <c r="G341" s="67">
        <f t="shared" si="25"/>
        <v>0.16094583545999999</v>
      </c>
      <c r="H341" s="83">
        <f>_xlfn.IFNA(0.997*(INDEX('Mass attenuation coefficients'!$B$2:$B$37,MATCH($C341,'Mass attenuation coefficients'!$A$2:$A$37,1))+($C341-INDEX('Mass attenuation coefficients'!$A$2:$A$37,MATCH($C341,'Mass attenuation coefficients'!$A$2:$A$37,1)))*(INDEX('Mass attenuation coefficients'!$B$2:$B$37,MATCH($C341,'Mass attenuation coefficients'!$A$2:$A$37,1)+1)-INDEX('Mass attenuation coefficients'!$B$2:$B$37,MATCH($C341,'Mass attenuation coefficients'!$A$2:$A$37,1)))/(INDEX('Mass attenuation coefficients'!$A$2:$A$37,MATCH($C341,'Mass attenuation coefficients'!$A$2:$A$37,1)+1)-INDEX('Mass attenuation coefficients'!$A$2:$A$37,MATCH($C341,'Mass attenuation coefficients'!$A$2:$A$37,1)))),0.997*$C341*'Mass attenuation coefficients'!$B$2/'Mass attenuation coefficients'!$A$2)</f>
        <v>8.0763431547299994E-2</v>
      </c>
      <c r="I341" s="83">
        <f>_xlfn.IFNA(INDEX('Shultis Faw'!$C$2:$C$26,MATCH($C341,'Shultis Faw'!$A$2:$A$26,1))+($C341-INDEX('Shultis Faw'!$A$2:$A$26,MATCH($C341,'Shultis Faw'!$A$2:$A$26,1)))*(INDEX('Shultis Faw'!$C$2:$C$26,MATCH($C341,'Shultis Faw'!$A$2:$A$26,1)+1)-INDEX('Shultis Faw'!$C$2:$C$26,MATCH($C341,'Shultis Faw'!$A$2:$A$26,1)))/(INDEX('Shultis Faw'!$A$2:$A$26,MATCH($C341,'Shultis Faw'!$A$2:$A$26,1)+1)-INDEX('Shultis Faw'!$A$2:$A$26,MATCH($C341,'Shultis Faw'!$A$2:$A$26,1))),$C341*'Shultis Faw'!$C$2/'Shultis Faw'!$A$2)</f>
        <v>2.2476383500000003</v>
      </c>
      <c r="J341" s="83">
        <f>_xlfn.IFNA(INDEX('Shultis Faw'!$D$2:$D$26,MATCH($C341,'Shultis Faw'!$A$2:$A$26,1))+($C341-INDEX('Shultis Faw'!$A$2:$A$26,MATCH($C341,'Shultis Faw'!$A$2:$A$26,1)))*(INDEX('Shultis Faw'!$D$2:$D$26,MATCH($C341,'Shultis Faw'!$A$2:$A$26,1)+1)-INDEX('Shultis Faw'!$D$2:$D$26,MATCH($C341,'Shultis Faw'!$A$2:$A$26,1)))/(INDEX('Shultis Faw'!$A$2:$A$26,MATCH($C341,'Shultis Faw'!$A$2:$A$26,1)+1)-INDEX('Shultis Faw'!$A$2:$A$26,MATCH($C341,'Shultis Faw'!$A$2:$A$26,1))),$C341*'Shultis Faw'!$D$2/'Shultis Faw'!$A$2)</f>
        <v>1.5731586500000001</v>
      </c>
      <c r="K341" s="83">
        <f>_xlfn.IFNA(INDEX('Shultis Faw'!$B$2:$B$26,MATCH($C341,'Shultis Faw'!$A$2:$A$26,1))+($C341-INDEX('Shultis Faw'!$A$2:$A$26,MATCH($C341,'Shultis Faw'!$A$2:$A$26,1)))*(INDEX('Shultis Faw'!$B$2:$B$26,MATCH($C341,'Shultis Faw'!$A$2:$A$26,1)+1)-INDEX('Shultis Faw'!$B$2:$B$26,MATCH($C341,'Shultis Faw'!$A$2:$A$26,1)))/(INDEX('Shultis Faw'!$A$2:$A$26,MATCH($C341,'Shultis Faw'!$A$2:$A$26,1)+1)-INDEX('Shultis Faw'!$A$2:$A$26,MATCH($C341,'Shultis Faw'!$A$2:$A$26,1))),$C341*'Shultis Faw'!$B$2/'Shultis Faw'!$A$2)</f>
        <v>-0.10910381</v>
      </c>
      <c r="L341" s="83">
        <f>_xlfn.IFNA(INDEX('Shultis Faw'!$E$2:$E$26,MATCH($C341,'Shultis Faw'!$A$2:$A$26,1))+($C341-INDEX('Shultis Faw'!$A$2:$A$26,MATCH($C341,'Shultis Faw'!$A$2:$A$26,1)))*(INDEX('Shultis Faw'!$E$2:$E$26,MATCH($C341,'Shultis Faw'!$A$2:$A$26,1)+1)-INDEX('Shultis Faw'!$E$2:$E$26,MATCH($C341,'Shultis Faw'!$A$2:$A$26,1)))/(INDEX('Shultis Faw'!$A$2:$A$26,MATCH($C341,'Shultis Faw'!$A$2:$A$26,1)+1)-INDEX('Shultis Faw'!$A$2:$A$26,MATCH($C341,'Shultis Faw'!$A$2:$A$26,1))),$C341*'Shultis Faw'!$E$2/'Shultis Faw'!$A$2)</f>
        <v>4.5125534000000002E-2</v>
      </c>
      <c r="M341" s="83">
        <f>_xlfn.IFNA(INDEX('Shultis Faw'!$F$2:$F$26,MATCH($C341,'Shultis Faw'!$A$2:$A$26,1))+($C341-INDEX('Shultis Faw'!$A$2:$A$26,MATCH($C341,'Shultis Faw'!$A$2:$A$26,1)))*(INDEX('Shultis Faw'!$F$2:$F$26,MATCH($C341,'Shultis Faw'!$A$2:$A$26,1)+1)-INDEX('Shultis Faw'!$F$2:$F$26,MATCH($C341,'Shultis Faw'!$A$2:$A$26,1)))/(INDEX('Shultis Faw'!$A$2:$A$26,MATCH($C341,'Shultis Faw'!$A$2:$A$26,1)+1)-INDEX('Shultis Faw'!$A$2:$A$26,MATCH($C341,'Shultis Faw'!$A$2:$A$26,1))),$C341*'Shultis Faw'!$F$2/'Shultis Faw'!$A$2)</f>
        <v>14.331921299999999</v>
      </c>
      <c r="N341" s="83">
        <f>J341*(H341*'Externe blootstelling'!$D$23/2)^K341+L341*(TANH(((H341*'Externe blootstelling'!$D$23)/(2*M341))-2)-TANH(-2))/(1-TANH(-2))</f>
        <v>1.5407263837629017</v>
      </c>
      <c r="O341" s="83">
        <f>IF(N341=1,1+(I341-1)*H341*'Externe blootstelling'!$D$23/2,1+(I341-1)*(N341^(H341*'Externe blootstelling'!$D$23/2)-1)/(N341-1))</f>
        <v>2.5878780402300423</v>
      </c>
      <c r="P341" s="67">
        <f>G341*EXP(-H341*'Externe blootstelling'!$D$23/2)*O341</f>
        <v>0.12402146554791922</v>
      </c>
      <c r="Q341" s="68"/>
    </row>
    <row r="342" spans="1:17" x14ac:dyDescent="0.2">
      <c r="A342" s="217"/>
      <c r="B342" s="64" t="s">
        <v>104</v>
      </c>
      <c r="C342" s="66">
        <v>0.77439999999999998</v>
      </c>
      <c r="D342" s="66">
        <f t="shared" si="24"/>
        <v>1.2390399999999999E-13</v>
      </c>
      <c r="E342" s="66">
        <v>8.0000000000000007E-5</v>
      </c>
      <c r="F342" s="66">
        <f>_xlfn.IFNA(INDEX('hp (pSv cm2)'!$B$2:$B$52,MATCH($C342,'hp (pSv cm2)'!$A$2:$A$52,1))+($C342-INDEX('hp (pSv cm2)'!$A$2:$A$52,MATCH($C342,'hp (pSv cm2)'!$A$2:$A$52,1)))*(INDEX('hp (pSv cm2)'!$B$2:$B$52,MATCH($C342,'hp (pSv cm2)'!$A$2:$A$52,1)+1)-INDEX('hp (pSv cm2)'!$B$2:$B$52,MATCH($C342,'hp (pSv cm2)'!$A$2:$A$52,1)))/(INDEX('hp (pSv cm2)'!$A$2:$A$52,MATCH($C342,'hp (pSv cm2)'!$A$2:$A$52,1)+1)-INDEX('hp (pSv cm2)'!$A$2:$A$52,MATCH($C342,'hp (pSv cm2)'!$A$2:$A$52,1))),$C342*'hp (pSv cm2)'!$B$2/'hp (pSv cm2)'!$A$2)</f>
        <v>3.6250399999999998</v>
      </c>
      <c r="G342" s="67">
        <f t="shared" si="25"/>
        <v>2.9000320000000001E-4</v>
      </c>
      <c r="H342" s="83">
        <f>_xlfn.IFNA(0.997*(INDEX('Mass attenuation coefficients'!$B$2:$B$37,MATCH($C342,'Mass attenuation coefficients'!$A$2:$A$37,1))+($C342-INDEX('Mass attenuation coefficients'!$A$2:$A$37,MATCH($C342,'Mass attenuation coefficients'!$A$2:$A$37,1)))*(INDEX('Mass attenuation coefficients'!$B$2:$B$37,MATCH($C342,'Mass attenuation coefficients'!$A$2:$A$37,1)+1)-INDEX('Mass attenuation coefficients'!$B$2:$B$37,MATCH($C342,'Mass attenuation coefficients'!$A$2:$A$37,1)))/(INDEX('Mass attenuation coefficients'!$A$2:$A$37,MATCH($C342,'Mass attenuation coefficients'!$A$2:$A$37,1)+1)-INDEX('Mass attenuation coefficients'!$A$2:$A$37,MATCH($C342,'Mass attenuation coefficients'!$A$2:$A$37,1)))),0.997*$C342*'Mass attenuation coefficients'!$B$2/'Mass attenuation coefficients'!$A$2)</f>
        <v>7.9806340560000008E-2</v>
      </c>
      <c r="I342" s="83">
        <f>_xlfn.IFNA(INDEX('Shultis Faw'!$C$2:$C$26,MATCH($C342,'Shultis Faw'!$A$2:$A$26,1))+($C342-INDEX('Shultis Faw'!$A$2:$A$26,MATCH($C342,'Shultis Faw'!$A$2:$A$26,1)))*(INDEX('Shultis Faw'!$C$2:$C$26,MATCH($C342,'Shultis Faw'!$A$2:$A$26,1)+1)-INDEX('Shultis Faw'!$C$2:$C$26,MATCH($C342,'Shultis Faw'!$A$2:$A$26,1)))/(INDEX('Shultis Faw'!$A$2:$A$26,MATCH($C342,'Shultis Faw'!$A$2:$A$26,1)+1)-INDEX('Shultis Faw'!$A$2:$A$26,MATCH($C342,'Shultis Faw'!$A$2:$A$26,1))),$C342*'Shultis Faw'!$C$2/'Shultis Faw'!$A$2)</f>
        <v>2.23312</v>
      </c>
      <c r="J342" s="83">
        <f>_xlfn.IFNA(INDEX('Shultis Faw'!$D$2:$D$26,MATCH($C342,'Shultis Faw'!$A$2:$A$26,1))+($C342-INDEX('Shultis Faw'!$A$2:$A$26,MATCH($C342,'Shultis Faw'!$A$2:$A$26,1)))*(INDEX('Shultis Faw'!$D$2:$D$26,MATCH($C342,'Shultis Faw'!$A$2:$A$26,1)+1)-INDEX('Shultis Faw'!$D$2:$D$26,MATCH($C342,'Shultis Faw'!$A$2:$A$26,1)))/(INDEX('Shultis Faw'!$A$2:$A$26,MATCH($C342,'Shultis Faw'!$A$2:$A$26,1)+1)-INDEX('Shultis Faw'!$A$2:$A$26,MATCH($C342,'Shultis Faw'!$A$2:$A$26,1))),$C342*'Shultis Faw'!$D$2/'Shultis Faw'!$A$2)</f>
        <v>1.56128</v>
      </c>
      <c r="K342" s="83">
        <f>_xlfn.IFNA(INDEX('Shultis Faw'!$B$2:$B$26,MATCH($C342,'Shultis Faw'!$A$2:$A$26,1))+($C342-INDEX('Shultis Faw'!$A$2:$A$26,MATCH($C342,'Shultis Faw'!$A$2:$A$26,1)))*(INDEX('Shultis Faw'!$B$2:$B$26,MATCH($C342,'Shultis Faw'!$A$2:$A$26,1)+1)-INDEX('Shultis Faw'!$B$2:$B$26,MATCH($C342,'Shultis Faw'!$A$2:$A$26,1)))/(INDEX('Shultis Faw'!$A$2:$A$26,MATCH($C342,'Shultis Faw'!$A$2:$A$26,1)+1)-INDEX('Shultis Faw'!$A$2:$A$26,MATCH($C342,'Shultis Faw'!$A$2:$A$26,1))),$C342*'Shultis Faw'!$B$2/'Shultis Faw'!$A$2)</f>
        <v>-0.107432</v>
      </c>
      <c r="L342" s="83">
        <f>_xlfn.IFNA(INDEX('Shultis Faw'!$E$2:$E$26,MATCH($C342,'Shultis Faw'!$A$2:$A$26,1))+($C342-INDEX('Shultis Faw'!$A$2:$A$26,MATCH($C342,'Shultis Faw'!$A$2:$A$26,1)))*(INDEX('Shultis Faw'!$E$2:$E$26,MATCH($C342,'Shultis Faw'!$A$2:$A$26,1)+1)-INDEX('Shultis Faw'!$E$2:$E$26,MATCH($C342,'Shultis Faw'!$A$2:$A$26,1)))/(INDEX('Shultis Faw'!$A$2:$A$26,MATCH($C342,'Shultis Faw'!$A$2:$A$26,1)+1)-INDEX('Shultis Faw'!$A$2:$A$26,MATCH($C342,'Shultis Faw'!$A$2:$A$26,1))),$C342*'Shultis Faw'!$E$2/'Shultis Faw'!$A$2)</f>
        <v>4.4544800000000002E-2</v>
      </c>
      <c r="M342" s="83">
        <f>_xlfn.IFNA(INDEX('Shultis Faw'!$F$2:$F$26,MATCH($C342,'Shultis Faw'!$A$2:$A$26,1))+($C342-INDEX('Shultis Faw'!$A$2:$A$26,MATCH($C342,'Shultis Faw'!$A$2:$A$26,1)))*(INDEX('Shultis Faw'!$F$2:$F$26,MATCH($C342,'Shultis Faw'!$A$2:$A$26,1)+1)-INDEX('Shultis Faw'!$F$2:$F$26,MATCH($C342,'Shultis Faw'!$A$2:$A$26,1)))/(INDEX('Shultis Faw'!$A$2:$A$26,MATCH($C342,'Shultis Faw'!$A$2:$A$26,1)+1)-INDEX('Shultis Faw'!$A$2:$A$26,MATCH($C342,'Shultis Faw'!$A$2:$A$26,1))),$C342*'Shultis Faw'!$F$2/'Shultis Faw'!$A$2)</f>
        <v>14.343359999999999</v>
      </c>
      <c r="N342" s="83">
        <f>J342*(H342*'Externe blootstelling'!$D$23/2)^K342+L342*(TANH(((H342*'Externe blootstelling'!$D$23)/(2*M342))-2)-TANH(-2))/(1-TANH(-2))</f>
        <v>1.5315402600089643</v>
      </c>
      <c r="O342" s="83">
        <f>IF(N342=1,1+(I342-1)*H342*'Externe blootstelling'!$D$23/2,1+(I342-1)*(N342^(H342*'Externe blootstelling'!$D$23/2)-1)/(N342-1))</f>
        <v>2.5445309624031047</v>
      </c>
      <c r="P342" s="67">
        <f>G342*EXP(-H342*'Externe blootstelling'!$D$23/2)*O342</f>
        <v>2.2290444555026154E-4</v>
      </c>
      <c r="Q342" s="68"/>
    </row>
    <row r="343" spans="1:17" x14ac:dyDescent="0.2">
      <c r="A343" s="217"/>
      <c r="B343" s="64" t="s">
        <v>104</v>
      </c>
      <c r="C343" s="66">
        <v>0.79020000000000001</v>
      </c>
      <c r="D343" s="66">
        <f t="shared" si="24"/>
        <v>1.2643199999999999E-13</v>
      </c>
      <c r="E343" s="66">
        <v>1E-4</v>
      </c>
      <c r="F343" s="66">
        <f>_xlfn.IFNA(INDEX('hp (pSv cm2)'!$B$2:$B$52,MATCH($C343,'hp (pSv cm2)'!$A$2:$A$52,1))+($C343-INDEX('hp (pSv cm2)'!$A$2:$A$52,MATCH($C343,'hp (pSv cm2)'!$A$2:$A$52,1)))*(INDEX('hp (pSv cm2)'!$B$2:$B$52,MATCH($C343,'hp (pSv cm2)'!$A$2:$A$52,1)+1)-INDEX('hp (pSv cm2)'!$B$2:$B$52,MATCH($C343,'hp (pSv cm2)'!$A$2:$A$52,1)))/(INDEX('hp (pSv cm2)'!$A$2:$A$52,MATCH($C343,'hp (pSv cm2)'!$A$2:$A$52,1)+1)-INDEX('hp (pSv cm2)'!$A$2:$A$52,MATCH($C343,'hp (pSv cm2)'!$A$2:$A$52,1))),$C343*'hp (pSv cm2)'!$B$2/'hp (pSv cm2)'!$A$2)</f>
        <v>3.6898200000000001</v>
      </c>
      <c r="G343" s="67">
        <f t="shared" si="25"/>
        <v>3.6898200000000001E-4</v>
      </c>
      <c r="H343" s="83">
        <f>_xlfn.IFNA(0.997*(INDEX('Mass attenuation coefficients'!$B$2:$B$37,MATCH($C343,'Mass attenuation coefficients'!$A$2:$A$37,1))+($C343-INDEX('Mass attenuation coefficients'!$A$2:$A$37,MATCH($C343,'Mass attenuation coefficients'!$A$2:$A$37,1)))*(INDEX('Mass attenuation coefficients'!$B$2:$B$37,MATCH($C343,'Mass attenuation coefficients'!$A$2:$A$37,1)+1)-INDEX('Mass attenuation coefficients'!$B$2:$B$37,MATCH($C343,'Mass attenuation coefficients'!$A$2:$A$37,1)))/(INDEX('Mass attenuation coefficients'!$A$2:$A$37,MATCH($C343,'Mass attenuation coefficients'!$A$2:$A$37,1)+1)-INDEX('Mass attenuation coefficients'!$A$2:$A$37,MATCH($C343,'Mass attenuation coefficients'!$A$2:$A$37,1)))),0.997*$C343*'Mass attenuation coefficients'!$B$2/'Mass attenuation coefficients'!$A$2)</f>
        <v>7.8947036230000003E-2</v>
      </c>
      <c r="I343" s="83">
        <f>_xlfn.IFNA(INDEX('Shultis Faw'!$C$2:$C$26,MATCH($C343,'Shultis Faw'!$A$2:$A$26,1))+($C343-INDEX('Shultis Faw'!$A$2:$A$26,MATCH($C343,'Shultis Faw'!$A$2:$A$26,1)))*(INDEX('Shultis Faw'!$C$2:$C$26,MATCH($C343,'Shultis Faw'!$A$2:$A$26,1)+1)-INDEX('Shultis Faw'!$C$2:$C$26,MATCH($C343,'Shultis Faw'!$A$2:$A$26,1)))/(INDEX('Shultis Faw'!$A$2:$A$26,MATCH($C343,'Shultis Faw'!$A$2:$A$26,1)+1)-INDEX('Shultis Faw'!$A$2:$A$26,MATCH($C343,'Shultis Faw'!$A$2:$A$26,1))),$C343*'Shultis Faw'!$C$2/'Shultis Faw'!$A$2)</f>
        <v>2.2200850000000001</v>
      </c>
      <c r="J343" s="83">
        <f>_xlfn.IFNA(INDEX('Shultis Faw'!$D$2:$D$26,MATCH($C343,'Shultis Faw'!$A$2:$A$26,1))+($C343-INDEX('Shultis Faw'!$A$2:$A$26,MATCH($C343,'Shultis Faw'!$A$2:$A$26,1)))*(INDEX('Shultis Faw'!$D$2:$D$26,MATCH($C343,'Shultis Faw'!$A$2:$A$26,1)+1)-INDEX('Shultis Faw'!$D$2:$D$26,MATCH($C343,'Shultis Faw'!$A$2:$A$26,1)))/(INDEX('Shultis Faw'!$A$2:$A$26,MATCH($C343,'Shultis Faw'!$A$2:$A$26,1)+1)-INDEX('Shultis Faw'!$A$2:$A$26,MATCH($C343,'Shultis Faw'!$A$2:$A$26,1))),$C343*'Shultis Faw'!$D$2/'Shultis Faw'!$A$2)</f>
        <v>1.5506150000000001</v>
      </c>
      <c r="K343" s="83">
        <f>_xlfn.IFNA(INDEX('Shultis Faw'!$B$2:$B$26,MATCH($C343,'Shultis Faw'!$A$2:$A$26,1))+($C343-INDEX('Shultis Faw'!$A$2:$A$26,MATCH($C343,'Shultis Faw'!$A$2:$A$26,1)))*(INDEX('Shultis Faw'!$B$2:$B$26,MATCH($C343,'Shultis Faw'!$A$2:$A$26,1)+1)-INDEX('Shultis Faw'!$B$2:$B$26,MATCH($C343,'Shultis Faw'!$A$2:$A$26,1)))/(INDEX('Shultis Faw'!$A$2:$A$26,MATCH($C343,'Shultis Faw'!$A$2:$A$26,1)+1)-INDEX('Shultis Faw'!$A$2:$A$26,MATCH($C343,'Shultis Faw'!$A$2:$A$26,1))),$C343*'Shultis Faw'!$B$2/'Shultis Faw'!$A$2)</f>
        <v>-0.105931</v>
      </c>
      <c r="L343" s="83">
        <f>_xlfn.IFNA(INDEX('Shultis Faw'!$E$2:$E$26,MATCH($C343,'Shultis Faw'!$A$2:$A$26,1))+($C343-INDEX('Shultis Faw'!$A$2:$A$26,MATCH($C343,'Shultis Faw'!$A$2:$A$26,1)))*(INDEX('Shultis Faw'!$E$2:$E$26,MATCH($C343,'Shultis Faw'!$A$2:$A$26,1)+1)-INDEX('Shultis Faw'!$E$2:$E$26,MATCH($C343,'Shultis Faw'!$A$2:$A$26,1)))/(INDEX('Shultis Faw'!$A$2:$A$26,MATCH($C343,'Shultis Faw'!$A$2:$A$26,1)+1)-INDEX('Shultis Faw'!$A$2:$A$26,MATCH($C343,'Shultis Faw'!$A$2:$A$26,1))),$C343*'Shultis Faw'!$E$2/'Shultis Faw'!$A$2)</f>
        <v>4.4023400000000004E-2</v>
      </c>
      <c r="M343" s="83">
        <f>_xlfn.IFNA(INDEX('Shultis Faw'!$F$2:$F$26,MATCH($C343,'Shultis Faw'!$A$2:$A$26,1))+($C343-INDEX('Shultis Faw'!$A$2:$A$26,MATCH($C343,'Shultis Faw'!$A$2:$A$26,1)))*(INDEX('Shultis Faw'!$F$2:$F$26,MATCH($C343,'Shultis Faw'!$A$2:$A$26,1)+1)-INDEX('Shultis Faw'!$F$2:$F$26,MATCH($C343,'Shultis Faw'!$A$2:$A$26,1)))/(INDEX('Shultis Faw'!$A$2:$A$26,MATCH($C343,'Shultis Faw'!$A$2:$A$26,1)+1)-INDEX('Shultis Faw'!$A$2:$A$26,MATCH($C343,'Shultis Faw'!$A$2:$A$26,1))),$C343*'Shultis Faw'!$F$2/'Shultis Faw'!$A$2)</f>
        <v>14.353629999999999</v>
      </c>
      <c r="N343" s="83">
        <f>J343*(H343*'Externe blootstelling'!$D$23/2)^K343+L343*(TANH(((H343*'Externe blootstelling'!$D$23)/(2*M343))-2)-TANH(-2))/(1-TANH(-2))</f>
        <v>1.523232326360632</v>
      </c>
      <c r="O343" s="83">
        <f>IF(N343=1,1+(I343-1)*H343*'Externe blootstelling'!$D$23/2,1+(I343-1)*(N343^(H343*'Externe blootstelling'!$D$23/2)-1)/(N343-1))</f>
        <v>2.5063826721953113</v>
      </c>
      <c r="P343" s="67">
        <f>G343*EXP(-H343*'Externe blootstelling'!$D$23/2)*O343</f>
        <v>2.8298187965944887E-4</v>
      </c>
      <c r="Q343" s="68"/>
    </row>
    <row r="344" spans="1:17" x14ac:dyDescent="0.2">
      <c r="A344" s="217"/>
      <c r="B344" s="64" t="s">
        <v>104</v>
      </c>
      <c r="C344" s="66">
        <v>0.80020000000000002</v>
      </c>
      <c r="D344" s="66">
        <f t="shared" si="24"/>
        <v>1.28032E-13</v>
      </c>
      <c r="E344" s="66">
        <v>3.2000000000000003E-4</v>
      </c>
      <c r="F344" s="66">
        <f>_xlfn.IFNA(INDEX('hp (pSv cm2)'!$B$2:$B$52,MATCH($C344,'hp (pSv cm2)'!$A$2:$A$52,1))+($C344-INDEX('hp (pSv cm2)'!$A$2:$A$52,MATCH($C344,'hp (pSv cm2)'!$A$2:$A$52,1)))*(INDEX('hp (pSv cm2)'!$B$2:$B$52,MATCH($C344,'hp (pSv cm2)'!$A$2:$A$52,1)+1)-INDEX('hp (pSv cm2)'!$B$2:$B$52,MATCH($C344,'hp (pSv cm2)'!$A$2:$A$52,1)))/(INDEX('hp (pSv cm2)'!$A$2:$A$52,MATCH($C344,'hp (pSv cm2)'!$A$2:$A$52,1)+1)-INDEX('hp (pSv cm2)'!$A$2:$A$52,MATCH($C344,'hp (pSv cm2)'!$A$2:$A$52,1))),$C344*'hp (pSv cm2)'!$B$2/'hp (pSv cm2)'!$A$2)</f>
        <v>3.7307600000000001</v>
      </c>
      <c r="G344" s="67">
        <f t="shared" si="25"/>
        <v>1.1938432000000001E-3</v>
      </c>
      <c r="H344" s="83">
        <f>_xlfn.IFNA(0.997*(INDEX('Mass attenuation coefficients'!$B$2:$B$37,MATCH($C344,'Mass attenuation coefficients'!$A$2:$A$37,1))+($C344-INDEX('Mass attenuation coefficients'!$A$2:$A$37,MATCH($C344,'Mass attenuation coefficients'!$A$2:$A$37,1)))*(INDEX('Mass attenuation coefficients'!$B$2:$B$37,MATCH($C344,'Mass attenuation coefficients'!$A$2:$A$37,1)+1)-INDEX('Mass attenuation coefficients'!$B$2:$B$37,MATCH($C344,'Mass attenuation coefficients'!$A$2:$A$37,1)))/(INDEX('Mass attenuation coefficients'!$A$2:$A$37,MATCH($C344,'Mass attenuation coefficients'!$A$2:$A$37,1)+1)-INDEX('Mass attenuation coefficients'!$A$2:$A$37,MATCH($C344,'Mass attenuation coefficients'!$A$2:$A$37,1)))),0.997*$C344*'Mass attenuation coefficients'!$B$2/'Mass attenuation coefficients'!$A$2)</f>
        <v>7.8406143789999994E-2</v>
      </c>
      <c r="I344" s="83">
        <f>_xlfn.IFNA(INDEX('Shultis Faw'!$C$2:$C$26,MATCH($C344,'Shultis Faw'!$A$2:$A$26,1))+($C344-INDEX('Shultis Faw'!$A$2:$A$26,MATCH($C344,'Shultis Faw'!$A$2:$A$26,1)))*(INDEX('Shultis Faw'!$C$2:$C$26,MATCH($C344,'Shultis Faw'!$A$2:$A$26,1)+1)-INDEX('Shultis Faw'!$C$2:$C$26,MATCH($C344,'Shultis Faw'!$A$2:$A$26,1)))/(INDEX('Shultis Faw'!$A$2:$A$26,MATCH($C344,'Shultis Faw'!$A$2:$A$26,1)+1)-INDEX('Shultis Faw'!$A$2:$A$26,MATCH($C344,'Shultis Faw'!$A$2:$A$26,1))),$C344*'Shultis Faw'!$C$2/'Shultis Faw'!$A$2)</f>
        <v>2.2118910000000001</v>
      </c>
      <c r="J344" s="83">
        <f>_xlfn.IFNA(INDEX('Shultis Faw'!$D$2:$D$26,MATCH($C344,'Shultis Faw'!$A$2:$A$26,1))+($C344-INDEX('Shultis Faw'!$A$2:$A$26,MATCH($C344,'Shultis Faw'!$A$2:$A$26,1)))*(INDEX('Shultis Faw'!$D$2:$D$26,MATCH($C344,'Shultis Faw'!$A$2:$A$26,1)+1)-INDEX('Shultis Faw'!$D$2:$D$26,MATCH($C344,'Shultis Faw'!$A$2:$A$26,1)))/(INDEX('Shultis Faw'!$A$2:$A$26,MATCH($C344,'Shultis Faw'!$A$2:$A$26,1)+1)-INDEX('Shultis Faw'!$A$2:$A$26,MATCH($C344,'Shultis Faw'!$A$2:$A$26,1))),$C344*'Shultis Faw'!$D$2/'Shultis Faw'!$A$2)</f>
        <v>1.5438970000000001</v>
      </c>
      <c r="K344" s="83">
        <f>_xlfn.IFNA(INDEX('Shultis Faw'!$B$2:$B$26,MATCH($C344,'Shultis Faw'!$A$2:$A$26,1))+($C344-INDEX('Shultis Faw'!$A$2:$A$26,MATCH($C344,'Shultis Faw'!$A$2:$A$26,1)))*(INDEX('Shultis Faw'!$B$2:$B$26,MATCH($C344,'Shultis Faw'!$A$2:$A$26,1)+1)-INDEX('Shultis Faw'!$B$2:$B$26,MATCH($C344,'Shultis Faw'!$A$2:$A$26,1)))/(INDEX('Shultis Faw'!$A$2:$A$26,MATCH($C344,'Shultis Faw'!$A$2:$A$26,1)+1)-INDEX('Shultis Faw'!$A$2:$A$26,MATCH($C344,'Shultis Faw'!$A$2:$A$26,1))),$C344*'Shultis Faw'!$B$2/'Shultis Faw'!$A$2)</f>
        <v>-0.10498399999999999</v>
      </c>
      <c r="L344" s="83">
        <f>_xlfn.IFNA(INDEX('Shultis Faw'!$E$2:$E$26,MATCH($C344,'Shultis Faw'!$A$2:$A$26,1))+($C344-INDEX('Shultis Faw'!$A$2:$A$26,MATCH($C344,'Shultis Faw'!$A$2:$A$26,1)))*(INDEX('Shultis Faw'!$E$2:$E$26,MATCH($C344,'Shultis Faw'!$A$2:$A$26,1)+1)-INDEX('Shultis Faw'!$E$2:$E$26,MATCH($C344,'Shultis Faw'!$A$2:$A$26,1)))/(INDEX('Shultis Faw'!$A$2:$A$26,MATCH($C344,'Shultis Faw'!$A$2:$A$26,1)+1)-INDEX('Shultis Faw'!$A$2:$A$26,MATCH($C344,'Shultis Faw'!$A$2:$A$26,1))),$C344*'Shultis Faw'!$E$2/'Shultis Faw'!$A$2)</f>
        <v>4.3694100000000007E-2</v>
      </c>
      <c r="M344" s="83">
        <f>_xlfn.IFNA(INDEX('Shultis Faw'!$F$2:$F$26,MATCH($C344,'Shultis Faw'!$A$2:$A$26,1))+($C344-INDEX('Shultis Faw'!$A$2:$A$26,MATCH($C344,'Shultis Faw'!$A$2:$A$26,1)))*(INDEX('Shultis Faw'!$F$2:$F$26,MATCH($C344,'Shultis Faw'!$A$2:$A$26,1)+1)-INDEX('Shultis Faw'!$F$2:$F$26,MATCH($C344,'Shultis Faw'!$A$2:$A$26,1)))/(INDEX('Shultis Faw'!$A$2:$A$26,MATCH($C344,'Shultis Faw'!$A$2:$A$26,1)+1)-INDEX('Shultis Faw'!$A$2:$A$26,MATCH($C344,'Shultis Faw'!$A$2:$A$26,1))),$C344*'Shultis Faw'!$F$2/'Shultis Faw'!$A$2)</f>
        <v>14.359859999999999</v>
      </c>
      <c r="N344" s="83">
        <f>J344*(H344*'Externe blootstelling'!$D$23/2)^K344+L344*(TANH(((H344*'Externe blootstelling'!$D$23)/(2*M344))-2)-TANH(-2))/(1-TANH(-2))</f>
        <v>1.5179693435221659</v>
      </c>
      <c r="O344" s="83">
        <f>IF(N344=1,1+(I344-1)*H344*'Externe blootstelling'!$D$23/2,1+(I344-1)*(N344^(H344*'Externe blootstelling'!$D$23/2)-1)/(N344-1))</f>
        <v>2.4827508355104846</v>
      </c>
      <c r="P344" s="67">
        <f>G344*EXP(-H344*'Externe blootstelling'!$D$23/2)*O344</f>
        <v>9.1434499687579511E-4</v>
      </c>
      <c r="Q344" s="68"/>
    </row>
    <row r="345" spans="1:17" x14ac:dyDescent="0.2">
      <c r="A345" s="217"/>
      <c r="B345" s="64" t="s">
        <v>104</v>
      </c>
      <c r="C345" s="66">
        <v>0.80121000000000009</v>
      </c>
      <c r="D345" s="66">
        <f t="shared" si="24"/>
        <v>1.2819360000000002E-13</v>
      </c>
      <c r="E345" s="66">
        <v>1.2E-4</v>
      </c>
      <c r="F345" s="66">
        <f>_xlfn.IFNA(INDEX('hp (pSv cm2)'!$B$2:$B$52,MATCH($C345,'hp (pSv cm2)'!$A$2:$A$52,1))+($C345-INDEX('hp (pSv cm2)'!$A$2:$A$52,MATCH($C345,'hp (pSv cm2)'!$A$2:$A$52,1)))*(INDEX('hp (pSv cm2)'!$B$2:$B$52,MATCH($C345,'hp (pSv cm2)'!$A$2:$A$52,1)+1)-INDEX('hp (pSv cm2)'!$B$2:$B$52,MATCH($C345,'hp (pSv cm2)'!$A$2:$A$52,1)))/(INDEX('hp (pSv cm2)'!$A$2:$A$52,MATCH($C345,'hp (pSv cm2)'!$A$2:$A$52,1)+1)-INDEX('hp (pSv cm2)'!$A$2:$A$52,MATCH($C345,'hp (pSv cm2)'!$A$2:$A$52,1))),$C345*'hp (pSv cm2)'!$B$2/'hp (pSv cm2)'!$A$2)</f>
        <v>3.7345980000000001</v>
      </c>
      <c r="G345" s="67">
        <f t="shared" si="25"/>
        <v>4.4815176000000004E-4</v>
      </c>
      <c r="H345" s="83">
        <f>_xlfn.IFNA(0.997*(INDEX('Mass attenuation coefficients'!$B$2:$B$37,MATCH($C345,'Mass attenuation coefficients'!$A$2:$A$37,1))+($C345-INDEX('Mass attenuation coefficients'!$A$2:$A$37,MATCH($C345,'Mass attenuation coefficients'!$A$2:$A$37,1)))*(INDEX('Mass attenuation coefficients'!$B$2:$B$37,MATCH($C345,'Mass attenuation coefficients'!$A$2:$A$37,1)+1)-INDEX('Mass attenuation coefficients'!$B$2:$B$37,MATCH($C345,'Mass attenuation coefficients'!$A$2:$A$37,1)))/(INDEX('Mass attenuation coefficients'!$A$2:$A$37,MATCH($C345,'Mass attenuation coefficients'!$A$2:$A$37,1)+1)-INDEX('Mass attenuation coefficients'!$A$2:$A$37,MATCH($C345,'Mass attenuation coefficients'!$A$2:$A$37,1)))),0.997*$C345*'Mass attenuation coefficients'!$B$2/'Mass attenuation coefficients'!$A$2)</f>
        <v>7.8366217429499993E-2</v>
      </c>
      <c r="I345" s="83">
        <f>_xlfn.IFNA(INDEX('Shultis Faw'!$C$2:$C$26,MATCH($C345,'Shultis Faw'!$A$2:$A$26,1))+($C345-INDEX('Shultis Faw'!$A$2:$A$26,MATCH($C345,'Shultis Faw'!$A$2:$A$26,1)))*(INDEX('Shultis Faw'!$C$2:$C$26,MATCH($C345,'Shultis Faw'!$A$2:$A$26,1)+1)-INDEX('Shultis Faw'!$C$2:$C$26,MATCH($C345,'Shultis Faw'!$A$2:$A$26,1)))/(INDEX('Shultis Faw'!$A$2:$A$26,MATCH($C345,'Shultis Faw'!$A$2:$A$26,1)+1)-INDEX('Shultis Faw'!$A$2:$A$26,MATCH($C345,'Shultis Faw'!$A$2:$A$26,1))),$C345*'Shultis Faw'!$C$2/'Shultis Faw'!$A$2)</f>
        <v>2.2113405500000001</v>
      </c>
      <c r="J345" s="83">
        <f>_xlfn.IFNA(INDEX('Shultis Faw'!$D$2:$D$26,MATCH($C345,'Shultis Faw'!$A$2:$A$26,1))+($C345-INDEX('Shultis Faw'!$A$2:$A$26,MATCH($C345,'Shultis Faw'!$A$2:$A$26,1)))*(INDEX('Shultis Faw'!$D$2:$D$26,MATCH($C345,'Shultis Faw'!$A$2:$A$26,1)+1)-INDEX('Shultis Faw'!$D$2:$D$26,MATCH($C345,'Shultis Faw'!$A$2:$A$26,1)))/(INDEX('Shultis Faw'!$A$2:$A$26,MATCH($C345,'Shultis Faw'!$A$2:$A$26,1)+1)-INDEX('Shultis Faw'!$A$2:$A$26,MATCH($C345,'Shultis Faw'!$A$2:$A$26,1))),$C345*'Shultis Faw'!$D$2/'Shultis Faw'!$A$2)</f>
        <v>1.54337685</v>
      </c>
      <c r="K345" s="83">
        <f>_xlfn.IFNA(INDEX('Shultis Faw'!$B$2:$B$26,MATCH($C345,'Shultis Faw'!$A$2:$A$26,1))+($C345-INDEX('Shultis Faw'!$A$2:$A$26,MATCH($C345,'Shultis Faw'!$A$2:$A$26,1)))*(INDEX('Shultis Faw'!$B$2:$B$26,MATCH($C345,'Shultis Faw'!$A$2:$A$26,1)+1)-INDEX('Shultis Faw'!$B$2:$B$26,MATCH($C345,'Shultis Faw'!$A$2:$A$26,1)))/(INDEX('Shultis Faw'!$A$2:$A$26,MATCH($C345,'Shultis Faw'!$A$2:$A$26,1)+1)-INDEX('Shultis Faw'!$A$2:$A$26,MATCH($C345,'Shultis Faw'!$A$2:$A$26,1))),$C345*'Shultis Faw'!$B$2/'Shultis Faw'!$A$2)</f>
        <v>-0.10490319999999999</v>
      </c>
      <c r="L345" s="83">
        <f>_xlfn.IFNA(INDEX('Shultis Faw'!$E$2:$E$26,MATCH($C345,'Shultis Faw'!$A$2:$A$26,1))+($C345-INDEX('Shultis Faw'!$A$2:$A$26,MATCH($C345,'Shultis Faw'!$A$2:$A$26,1)))*(INDEX('Shultis Faw'!$E$2:$E$26,MATCH($C345,'Shultis Faw'!$A$2:$A$26,1)+1)-INDEX('Shultis Faw'!$E$2:$E$26,MATCH($C345,'Shultis Faw'!$A$2:$A$26,1)))/(INDEX('Shultis Faw'!$A$2:$A$26,MATCH($C345,'Shultis Faw'!$A$2:$A$26,1)+1)-INDEX('Shultis Faw'!$A$2:$A$26,MATCH($C345,'Shultis Faw'!$A$2:$A$26,1))),$C345*'Shultis Faw'!$E$2/'Shultis Faw'!$A$2)</f>
        <v>4.3664305E-2</v>
      </c>
      <c r="M345" s="83">
        <f>_xlfn.IFNA(INDEX('Shultis Faw'!$F$2:$F$26,MATCH($C345,'Shultis Faw'!$A$2:$A$26,1))+($C345-INDEX('Shultis Faw'!$A$2:$A$26,MATCH($C345,'Shultis Faw'!$A$2:$A$26,1)))*(INDEX('Shultis Faw'!$F$2:$F$26,MATCH($C345,'Shultis Faw'!$A$2:$A$26,1)+1)-INDEX('Shultis Faw'!$F$2:$F$26,MATCH($C345,'Shultis Faw'!$A$2:$A$26,1)))/(INDEX('Shultis Faw'!$A$2:$A$26,MATCH($C345,'Shultis Faw'!$A$2:$A$26,1)+1)-INDEX('Shultis Faw'!$A$2:$A$26,MATCH($C345,'Shultis Faw'!$A$2:$A$26,1))),$C345*'Shultis Faw'!$F$2/'Shultis Faw'!$A$2)</f>
        <v>14.359152999999999</v>
      </c>
      <c r="N345" s="83">
        <f>J345*(H345*'Externe blootstelling'!$D$23/2)^K345+L345*(TANH(((H345*'Externe blootstelling'!$D$23)/(2*M345))-2)-TANH(-2))/(1-TANH(-2))</f>
        <v>1.5175587747719286</v>
      </c>
      <c r="O345" s="83">
        <f>IF(N345=1,1+(I345-1)*H345*'Externe blootstelling'!$D$23/2,1+(I345-1)*(N345^(H345*'Externe blootstelling'!$D$23/2)-1)/(N345-1))</f>
        <v>2.4810820038478161</v>
      </c>
      <c r="P345" s="67">
        <f>G345*EXP(-H345*'Externe blootstelling'!$D$23/2)*O345</f>
        <v>3.4320688222402152E-4</v>
      </c>
      <c r="Q345" s="68"/>
    </row>
    <row r="346" spans="1:17" x14ac:dyDescent="0.2">
      <c r="A346" s="217"/>
      <c r="B346" s="64" t="s">
        <v>104</v>
      </c>
      <c r="C346" s="66">
        <v>0.81552999999999998</v>
      </c>
      <c r="D346" s="66">
        <f t="shared" si="24"/>
        <v>1.3048479999999998E-13</v>
      </c>
      <c r="E346" s="66">
        <v>5.1200000000000004E-3</v>
      </c>
      <c r="F346" s="66">
        <f>_xlfn.IFNA(INDEX('hp (pSv cm2)'!$B$2:$B$52,MATCH($C346,'hp (pSv cm2)'!$A$2:$A$52,1))+($C346-INDEX('hp (pSv cm2)'!$A$2:$A$52,MATCH($C346,'hp (pSv cm2)'!$A$2:$A$52,1)))*(INDEX('hp (pSv cm2)'!$B$2:$B$52,MATCH($C346,'hp (pSv cm2)'!$A$2:$A$52,1)+1)-INDEX('hp (pSv cm2)'!$B$2:$B$52,MATCH($C346,'hp (pSv cm2)'!$A$2:$A$52,1)))/(INDEX('hp (pSv cm2)'!$A$2:$A$52,MATCH($C346,'hp (pSv cm2)'!$A$2:$A$52,1)+1)-INDEX('hp (pSv cm2)'!$A$2:$A$52,MATCH($C346,'hp (pSv cm2)'!$A$2:$A$52,1))),$C346*'hp (pSv cm2)'!$B$2/'hp (pSv cm2)'!$A$2)</f>
        <v>3.7890139999999999</v>
      </c>
      <c r="G346" s="67">
        <f t="shared" si="25"/>
        <v>1.9399751680000001E-2</v>
      </c>
      <c r="H346" s="83">
        <f>_xlfn.IFNA(0.997*(INDEX('Mass attenuation coefficients'!$B$2:$B$37,MATCH($C346,'Mass attenuation coefficients'!$A$2:$A$37,1))+($C346-INDEX('Mass attenuation coefficients'!$A$2:$A$37,MATCH($C346,'Mass attenuation coefficients'!$A$2:$A$37,1)))*(INDEX('Mass attenuation coefficients'!$B$2:$B$37,MATCH($C346,'Mass attenuation coefficients'!$A$2:$A$37,1)+1)-INDEX('Mass attenuation coefficients'!$B$2:$B$37,MATCH($C346,'Mass attenuation coefficients'!$A$2:$A$37,1)))/(INDEX('Mass attenuation coefficients'!$A$2:$A$37,MATCH($C346,'Mass attenuation coefficients'!$A$2:$A$37,1)+1)-INDEX('Mass attenuation coefficients'!$A$2:$A$37,MATCH($C346,'Mass attenuation coefficients'!$A$2:$A$37,1)))),0.997*$C346*'Mass attenuation coefficients'!$B$2/'Mass attenuation coefficients'!$A$2)</f>
        <v>7.780013279350001E-2</v>
      </c>
      <c r="I346" s="83">
        <f>_xlfn.IFNA(INDEX('Shultis Faw'!$C$2:$C$26,MATCH($C346,'Shultis Faw'!$A$2:$A$26,1))+($C346-INDEX('Shultis Faw'!$A$2:$A$26,MATCH($C346,'Shultis Faw'!$A$2:$A$26,1)))*(INDEX('Shultis Faw'!$C$2:$C$26,MATCH($C346,'Shultis Faw'!$A$2:$A$26,1)+1)-INDEX('Shultis Faw'!$C$2:$C$26,MATCH($C346,'Shultis Faw'!$A$2:$A$26,1)))/(INDEX('Shultis Faw'!$A$2:$A$26,MATCH($C346,'Shultis Faw'!$A$2:$A$26,1)+1)-INDEX('Shultis Faw'!$A$2:$A$26,MATCH($C346,'Shultis Faw'!$A$2:$A$26,1))),$C346*'Shultis Faw'!$C$2/'Shultis Faw'!$A$2)</f>
        <v>2.2035361500000001</v>
      </c>
      <c r="J346" s="83">
        <f>_xlfn.IFNA(INDEX('Shultis Faw'!$D$2:$D$26,MATCH($C346,'Shultis Faw'!$A$2:$A$26,1))+($C346-INDEX('Shultis Faw'!$A$2:$A$26,MATCH($C346,'Shultis Faw'!$A$2:$A$26,1)))*(INDEX('Shultis Faw'!$D$2:$D$26,MATCH($C346,'Shultis Faw'!$A$2:$A$26,1)+1)-INDEX('Shultis Faw'!$D$2:$D$26,MATCH($C346,'Shultis Faw'!$A$2:$A$26,1)))/(INDEX('Shultis Faw'!$A$2:$A$26,MATCH($C346,'Shultis Faw'!$A$2:$A$26,1)+1)-INDEX('Shultis Faw'!$A$2:$A$26,MATCH($C346,'Shultis Faw'!$A$2:$A$26,1))),$C346*'Shultis Faw'!$D$2/'Shultis Faw'!$A$2)</f>
        <v>1.53600205</v>
      </c>
      <c r="K346" s="83">
        <f>_xlfn.IFNA(INDEX('Shultis Faw'!$B$2:$B$26,MATCH($C346,'Shultis Faw'!$A$2:$A$26,1))+($C346-INDEX('Shultis Faw'!$A$2:$A$26,MATCH($C346,'Shultis Faw'!$A$2:$A$26,1)))*(INDEX('Shultis Faw'!$B$2:$B$26,MATCH($C346,'Shultis Faw'!$A$2:$A$26,1)+1)-INDEX('Shultis Faw'!$B$2:$B$26,MATCH($C346,'Shultis Faw'!$A$2:$A$26,1)))/(INDEX('Shultis Faw'!$A$2:$A$26,MATCH($C346,'Shultis Faw'!$A$2:$A$26,1)+1)-INDEX('Shultis Faw'!$A$2:$A$26,MATCH($C346,'Shultis Faw'!$A$2:$A$26,1))),$C346*'Shultis Faw'!$B$2/'Shultis Faw'!$A$2)</f>
        <v>-0.10375760000000001</v>
      </c>
      <c r="L346" s="83">
        <f>_xlfn.IFNA(INDEX('Shultis Faw'!$E$2:$E$26,MATCH($C346,'Shultis Faw'!$A$2:$A$26,1))+($C346-INDEX('Shultis Faw'!$A$2:$A$26,MATCH($C346,'Shultis Faw'!$A$2:$A$26,1)))*(INDEX('Shultis Faw'!$E$2:$E$26,MATCH($C346,'Shultis Faw'!$A$2:$A$26,1)+1)-INDEX('Shultis Faw'!$E$2:$E$26,MATCH($C346,'Shultis Faw'!$A$2:$A$26,1)))/(INDEX('Shultis Faw'!$A$2:$A$26,MATCH($C346,'Shultis Faw'!$A$2:$A$26,1)+1)-INDEX('Shultis Faw'!$A$2:$A$26,MATCH($C346,'Shultis Faw'!$A$2:$A$26,1))),$C346*'Shultis Faw'!$E$2/'Shultis Faw'!$A$2)</f>
        <v>4.3241865000000004E-2</v>
      </c>
      <c r="M346" s="83">
        <f>_xlfn.IFNA(INDEX('Shultis Faw'!$F$2:$F$26,MATCH($C346,'Shultis Faw'!$A$2:$A$26,1))+($C346-INDEX('Shultis Faw'!$A$2:$A$26,MATCH($C346,'Shultis Faw'!$A$2:$A$26,1)))*(INDEX('Shultis Faw'!$F$2:$F$26,MATCH($C346,'Shultis Faw'!$A$2:$A$26,1)+1)-INDEX('Shultis Faw'!$F$2:$F$26,MATCH($C346,'Shultis Faw'!$A$2:$A$26,1)))/(INDEX('Shultis Faw'!$A$2:$A$26,MATCH($C346,'Shultis Faw'!$A$2:$A$26,1)+1)-INDEX('Shultis Faw'!$A$2:$A$26,MATCH($C346,'Shultis Faw'!$A$2:$A$26,1))),$C346*'Shultis Faw'!$F$2/'Shultis Faw'!$A$2)</f>
        <v>14.349129</v>
      </c>
      <c r="N346" s="83">
        <f>J346*(H346*'Externe blootstelling'!$D$23/2)^K346+L346*(TANH(((H346*'Externe blootstelling'!$D$23)/(2*M346))-2)-TANH(-2))/(1-TANH(-2))</f>
        <v>1.5117220611455826</v>
      </c>
      <c r="O346" s="83">
        <f>IF(N346=1,1+(I346-1)*H346*'Externe blootstelling'!$D$23/2,1+(I346-1)*(N346^(H346*'Externe blootstelling'!$D$23/2)-1)/(N346-1))</f>
        <v>2.4575767581482038</v>
      </c>
      <c r="P346" s="67">
        <f>G346*EXP(-H346*'Externe blootstelling'!$D$23/2)*O346</f>
        <v>1.4841600478472885E-2</v>
      </c>
      <c r="Q346" s="68"/>
    </row>
    <row r="347" spans="1:17" x14ac:dyDescent="0.2">
      <c r="A347" s="217"/>
      <c r="B347" s="64" t="s">
        <v>104</v>
      </c>
      <c r="C347" s="66">
        <v>0.83029999999999993</v>
      </c>
      <c r="D347" s="66">
        <f t="shared" si="24"/>
        <v>1.3284799999999997E-13</v>
      </c>
      <c r="E347" s="66">
        <v>8.0000000000000007E-5</v>
      </c>
      <c r="F347" s="66">
        <f>_xlfn.IFNA(INDEX('hp (pSv cm2)'!$B$2:$B$52,MATCH($C347,'hp (pSv cm2)'!$A$2:$A$52,1))+($C347-INDEX('hp (pSv cm2)'!$A$2:$A$52,MATCH($C347,'hp (pSv cm2)'!$A$2:$A$52,1)))*(INDEX('hp (pSv cm2)'!$B$2:$B$52,MATCH($C347,'hp (pSv cm2)'!$A$2:$A$52,1)+1)-INDEX('hp (pSv cm2)'!$B$2:$B$52,MATCH($C347,'hp (pSv cm2)'!$A$2:$A$52,1)))/(INDEX('hp (pSv cm2)'!$A$2:$A$52,MATCH($C347,'hp (pSv cm2)'!$A$2:$A$52,1)+1)-INDEX('hp (pSv cm2)'!$A$2:$A$52,MATCH($C347,'hp (pSv cm2)'!$A$2:$A$52,1))),$C347*'hp (pSv cm2)'!$B$2/'hp (pSv cm2)'!$A$2)</f>
        <v>3.8451399999999998</v>
      </c>
      <c r="G347" s="67">
        <f t="shared" si="25"/>
        <v>3.0761120000000002E-4</v>
      </c>
      <c r="H347" s="83">
        <f>_xlfn.IFNA(0.997*(INDEX('Mass attenuation coefficients'!$B$2:$B$37,MATCH($C347,'Mass attenuation coefficients'!$A$2:$A$37,1))+($C347-INDEX('Mass attenuation coefficients'!$A$2:$A$37,MATCH($C347,'Mass attenuation coefficients'!$A$2:$A$37,1)))*(INDEX('Mass attenuation coefficients'!$B$2:$B$37,MATCH($C347,'Mass attenuation coefficients'!$A$2:$A$37,1)+1)-INDEX('Mass attenuation coefficients'!$B$2:$B$37,MATCH($C347,'Mass attenuation coefficients'!$A$2:$A$37,1)))/(INDEX('Mass attenuation coefficients'!$A$2:$A$37,MATCH($C347,'Mass attenuation coefficients'!$A$2:$A$37,1)+1)-INDEX('Mass attenuation coefficients'!$A$2:$A$37,MATCH($C347,'Mass attenuation coefficients'!$A$2:$A$37,1)))),0.997*$C347*'Mass attenuation coefficients'!$B$2/'Mass attenuation coefficients'!$A$2)</f>
        <v>7.7216259184999997E-2</v>
      </c>
      <c r="I347" s="83">
        <f>_xlfn.IFNA(INDEX('Shultis Faw'!$C$2:$C$26,MATCH($C347,'Shultis Faw'!$A$2:$A$26,1))+($C347-INDEX('Shultis Faw'!$A$2:$A$26,MATCH($C347,'Shultis Faw'!$A$2:$A$26,1)))*(INDEX('Shultis Faw'!$C$2:$C$26,MATCH($C347,'Shultis Faw'!$A$2:$A$26,1)+1)-INDEX('Shultis Faw'!$C$2:$C$26,MATCH($C347,'Shultis Faw'!$A$2:$A$26,1)))/(INDEX('Shultis Faw'!$A$2:$A$26,MATCH($C347,'Shultis Faw'!$A$2:$A$26,1)+1)-INDEX('Shultis Faw'!$A$2:$A$26,MATCH($C347,'Shultis Faw'!$A$2:$A$26,1))),$C347*'Shultis Faw'!$C$2/'Shultis Faw'!$A$2)</f>
        <v>2.1954865000000003</v>
      </c>
      <c r="J347" s="83">
        <f>_xlfn.IFNA(INDEX('Shultis Faw'!$D$2:$D$26,MATCH($C347,'Shultis Faw'!$A$2:$A$26,1))+($C347-INDEX('Shultis Faw'!$A$2:$A$26,MATCH($C347,'Shultis Faw'!$A$2:$A$26,1)))*(INDEX('Shultis Faw'!$D$2:$D$26,MATCH($C347,'Shultis Faw'!$A$2:$A$26,1)+1)-INDEX('Shultis Faw'!$D$2:$D$26,MATCH($C347,'Shultis Faw'!$A$2:$A$26,1)))/(INDEX('Shultis Faw'!$A$2:$A$26,MATCH($C347,'Shultis Faw'!$A$2:$A$26,1)+1)-INDEX('Shultis Faw'!$A$2:$A$26,MATCH($C347,'Shultis Faw'!$A$2:$A$26,1))),$C347*'Shultis Faw'!$D$2/'Shultis Faw'!$A$2)</f>
        <v>1.5283955</v>
      </c>
      <c r="K347" s="83">
        <f>_xlfn.IFNA(INDEX('Shultis Faw'!$B$2:$B$26,MATCH($C347,'Shultis Faw'!$A$2:$A$26,1))+($C347-INDEX('Shultis Faw'!$A$2:$A$26,MATCH($C347,'Shultis Faw'!$A$2:$A$26,1)))*(INDEX('Shultis Faw'!$B$2:$B$26,MATCH($C347,'Shultis Faw'!$A$2:$A$26,1)+1)-INDEX('Shultis Faw'!$B$2:$B$26,MATCH($C347,'Shultis Faw'!$A$2:$A$26,1)))/(INDEX('Shultis Faw'!$A$2:$A$26,MATCH($C347,'Shultis Faw'!$A$2:$A$26,1)+1)-INDEX('Shultis Faw'!$A$2:$A$26,MATCH($C347,'Shultis Faw'!$A$2:$A$26,1))),$C347*'Shultis Faw'!$B$2/'Shultis Faw'!$A$2)</f>
        <v>-0.102576</v>
      </c>
      <c r="L347" s="83">
        <f>_xlfn.IFNA(INDEX('Shultis Faw'!$E$2:$E$26,MATCH($C347,'Shultis Faw'!$A$2:$A$26,1))+($C347-INDEX('Shultis Faw'!$A$2:$A$26,MATCH($C347,'Shultis Faw'!$A$2:$A$26,1)))*(INDEX('Shultis Faw'!$E$2:$E$26,MATCH($C347,'Shultis Faw'!$A$2:$A$26,1)+1)-INDEX('Shultis Faw'!$E$2:$E$26,MATCH($C347,'Shultis Faw'!$A$2:$A$26,1)))/(INDEX('Shultis Faw'!$A$2:$A$26,MATCH($C347,'Shultis Faw'!$A$2:$A$26,1)+1)-INDEX('Shultis Faw'!$A$2:$A$26,MATCH($C347,'Shultis Faw'!$A$2:$A$26,1))),$C347*'Shultis Faw'!$E$2/'Shultis Faw'!$A$2)</f>
        <v>4.2806150000000008E-2</v>
      </c>
      <c r="M347" s="83">
        <f>_xlfn.IFNA(INDEX('Shultis Faw'!$F$2:$F$26,MATCH($C347,'Shultis Faw'!$A$2:$A$26,1))+($C347-INDEX('Shultis Faw'!$A$2:$A$26,MATCH($C347,'Shultis Faw'!$A$2:$A$26,1)))*(INDEX('Shultis Faw'!$F$2:$F$26,MATCH($C347,'Shultis Faw'!$A$2:$A$26,1)+1)-INDEX('Shultis Faw'!$F$2:$F$26,MATCH($C347,'Shultis Faw'!$A$2:$A$26,1)))/(INDEX('Shultis Faw'!$A$2:$A$26,MATCH($C347,'Shultis Faw'!$A$2:$A$26,1)+1)-INDEX('Shultis Faw'!$A$2:$A$26,MATCH($C347,'Shultis Faw'!$A$2:$A$26,1))),$C347*'Shultis Faw'!$F$2/'Shultis Faw'!$A$2)</f>
        <v>14.338789999999999</v>
      </c>
      <c r="N347" s="83">
        <f>J347*(H347*'Externe blootstelling'!$D$23/2)^K347+L347*(TANH(((H347*'Externe blootstelling'!$D$23)/(2*M347))-2)-TANH(-2))/(1-TANH(-2))</f>
        <v>1.5056714545125063</v>
      </c>
      <c r="O347" s="83">
        <f>IF(N347=1,1+(I347-1)*H347*'Externe blootstelling'!$D$23/2,1+(I347-1)*(N347^(H347*'Externe blootstelling'!$D$23/2)-1)/(N347-1))</f>
        <v>2.4336354141147547</v>
      </c>
      <c r="P347" s="67">
        <f>G347*EXP(-H347*'Externe blootstelling'!$D$23/2)*O347</f>
        <v>2.350924767179374E-4</v>
      </c>
      <c r="Q347" s="68"/>
    </row>
    <row r="348" spans="1:17" x14ac:dyDescent="0.2">
      <c r="A348" s="217"/>
      <c r="B348" s="64" t="s">
        <v>104</v>
      </c>
      <c r="C348" s="66">
        <v>0.84541600000000006</v>
      </c>
      <c r="D348" s="66">
        <f t="shared" si="24"/>
        <v>1.3526656E-13</v>
      </c>
      <c r="E348" s="66">
        <v>5.8599999999999998E-3</v>
      </c>
      <c r="F348" s="66">
        <f>_xlfn.IFNA(INDEX('hp (pSv cm2)'!$B$2:$B$52,MATCH($C348,'hp (pSv cm2)'!$A$2:$A$52,1))+($C348-INDEX('hp (pSv cm2)'!$A$2:$A$52,MATCH($C348,'hp (pSv cm2)'!$A$2:$A$52,1)))*(INDEX('hp (pSv cm2)'!$B$2:$B$52,MATCH($C348,'hp (pSv cm2)'!$A$2:$A$52,1)+1)-INDEX('hp (pSv cm2)'!$B$2:$B$52,MATCH($C348,'hp (pSv cm2)'!$A$2:$A$52,1)))/(INDEX('hp (pSv cm2)'!$A$2:$A$52,MATCH($C348,'hp (pSv cm2)'!$A$2:$A$52,1)+1)-INDEX('hp (pSv cm2)'!$A$2:$A$52,MATCH($C348,'hp (pSv cm2)'!$A$2:$A$52,1))),$C348*'hp (pSv cm2)'!$B$2/'hp (pSv cm2)'!$A$2)</f>
        <v>3.9025808</v>
      </c>
      <c r="G348" s="67">
        <f t="shared" si="25"/>
        <v>2.2869123488E-2</v>
      </c>
      <c r="H348" s="83">
        <f>_xlfn.IFNA(0.997*(INDEX('Mass attenuation coefficients'!$B$2:$B$37,MATCH($C348,'Mass attenuation coefficients'!$A$2:$A$37,1))+($C348-INDEX('Mass attenuation coefficients'!$A$2:$A$37,MATCH($C348,'Mass attenuation coefficients'!$A$2:$A$37,1)))*(INDEX('Mass attenuation coefficients'!$B$2:$B$37,MATCH($C348,'Mass attenuation coefficients'!$A$2:$A$37,1)+1)-INDEX('Mass attenuation coefficients'!$B$2:$B$37,MATCH($C348,'Mass attenuation coefficients'!$A$2:$A$37,1)))/(INDEX('Mass attenuation coefficients'!$A$2:$A$37,MATCH($C348,'Mass attenuation coefficients'!$A$2:$A$37,1)+1)-INDEX('Mass attenuation coefficients'!$A$2:$A$37,MATCH($C348,'Mass attenuation coefficients'!$A$2:$A$37,1)))),0.997*$C348*'Mass attenuation coefficients'!$B$2/'Mass attenuation coefficients'!$A$2)</f>
        <v>7.6618707833200003E-2</v>
      </c>
      <c r="I348" s="83">
        <f>_xlfn.IFNA(INDEX('Shultis Faw'!$C$2:$C$26,MATCH($C348,'Shultis Faw'!$A$2:$A$26,1))+($C348-INDEX('Shultis Faw'!$A$2:$A$26,MATCH($C348,'Shultis Faw'!$A$2:$A$26,1)))*(INDEX('Shultis Faw'!$C$2:$C$26,MATCH($C348,'Shultis Faw'!$A$2:$A$26,1)+1)-INDEX('Shultis Faw'!$C$2:$C$26,MATCH($C348,'Shultis Faw'!$A$2:$A$26,1)))/(INDEX('Shultis Faw'!$A$2:$A$26,MATCH($C348,'Shultis Faw'!$A$2:$A$26,1)+1)-INDEX('Shultis Faw'!$A$2:$A$26,MATCH($C348,'Shultis Faw'!$A$2:$A$26,1))),$C348*'Shultis Faw'!$C$2/'Shultis Faw'!$A$2)</f>
        <v>2.1872482800000004</v>
      </c>
      <c r="J348" s="83">
        <f>_xlfn.IFNA(INDEX('Shultis Faw'!$D$2:$D$26,MATCH($C348,'Shultis Faw'!$A$2:$A$26,1))+($C348-INDEX('Shultis Faw'!$A$2:$A$26,MATCH($C348,'Shultis Faw'!$A$2:$A$26,1)))*(INDEX('Shultis Faw'!$D$2:$D$26,MATCH($C348,'Shultis Faw'!$A$2:$A$26,1)+1)-INDEX('Shultis Faw'!$D$2:$D$26,MATCH($C348,'Shultis Faw'!$A$2:$A$26,1)))/(INDEX('Shultis Faw'!$A$2:$A$26,MATCH($C348,'Shultis Faw'!$A$2:$A$26,1)+1)-INDEX('Shultis Faw'!$A$2:$A$26,MATCH($C348,'Shultis Faw'!$A$2:$A$26,1))),$C348*'Shultis Faw'!$D$2/'Shultis Faw'!$A$2)</f>
        <v>1.5206107600000001</v>
      </c>
      <c r="K348" s="83">
        <f>_xlfn.IFNA(INDEX('Shultis Faw'!$B$2:$B$26,MATCH($C348,'Shultis Faw'!$A$2:$A$26,1))+($C348-INDEX('Shultis Faw'!$A$2:$A$26,MATCH($C348,'Shultis Faw'!$A$2:$A$26,1)))*(INDEX('Shultis Faw'!$B$2:$B$26,MATCH($C348,'Shultis Faw'!$A$2:$A$26,1)+1)-INDEX('Shultis Faw'!$B$2:$B$26,MATCH($C348,'Shultis Faw'!$A$2:$A$26,1)))/(INDEX('Shultis Faw'!$A$2:$A$26,MATCH($C348,'Shultis Faw'!$A$2:$A$26,1)+1)-INDEX('Shultis Faw'!$A$2:$A$26,MATCH($C348,'Shultis Faw'!$A$2:$A$26,1))),$C348*'Shultis Faw'!$B$2/'Shultis Faw'!$A$2)</f>
        <v>-0.10136671999999999</v>
      </c>
      <c r="L348" s="83">
        <f>_xlfn.IFNA(INDEX('Shultis Faw'!$E$2:$E$26,MATCH($C348,'Shultis Faw'!$A$2:$A$26,1))+($C348-INDEX('Shultis Faw'!$A$2:$A$26,MATCH($C348,'Shultis Faw'!$A$2:$A$26,1)))*(INDEX('Shultis Faw'!$E$2:$E$26,MATCH($C348,'Shultis Faw'!$A$2:$A$26,1)+1)-INDEX('Shultis Faw'!$E$2:$E$26,MATCH($C348,'Shultis Faw'!$A$2:$A$26,1)))/(INDEX('Shultis Faw'!$A$2:$A$26,MATCH($C348,'Shultis Faw'!$A$2:$A$26,1)+1)-INDEX('Shultis Faw'!$A$2:$A$26,MATCH($C348,'Shultis Faw'!$A$2:$A$26,1))),$C348*'Shultis Faw'!$E$2/'Shultis Faw'!$A$2)</f>
        <v>4.2360228E-2</v>
      </c>
      <c r="M348" s="83">
        <f>_xlfn.IFNA(INDEX('Shultis Faw'!$F$2:$F$26,MATCH($C348,'Shultis Faw'!$A$2:$A$26,1))+($C348-INDEX('Shultis Faw'!$A$2:$A$26,MATCH($C348,'Shultis Faw'!$A$2:$A$26,1)))*(INDEX('Shultis Faw'!$F$2:$F$26,MATCH($C348,'Shultis Faw'!$A$2:$A$26,1)+1)-INDEX('Shultis Faw'!$F$2:$F$26,MATCH($C348,'Shultis Faw'!$A$2:$A$26,1)))/(INDEX('Shultis Faw'!$A$2:$A$26,MATCH($C348,'Shultis Faw'!$A$2:$A$26,1)+1)-INDEX('Shultis Faw'!$A$2:$A$26,MATCH($C348,'Shultis Faw'!$A$2:$A$26,1))),$C348*'Shultis Faw'!$F$2/'Shultis Faw'!$A$2)</f>
        <v>14.328208800000001</v>
      </c>
      <c r="N348" s="83">
        <f>J348*(H348*'Externe blootstelling'!$D$23/2)^K348+L348*(TANH(((H348*'Externe blootstelling'!$D$23)/(2*M348))-2)-TANH(-2))/(1-TANH(-2))</f>
        <v>1.4994470911763977</v>
      </c>
      <c r="O348" s="83">
        <f>IF(N348=1,1+(I348-1)*H348*'Externe blootstelling'!$D$23/2,1+(I348-1)*(N348^(H348*'Externe blootstelling'!$D$23/2)-1)/(N348-1))</f>
        <v>2.4094476272658705</v>
      </c>
      <c r="P348" s="67">
        <f>G348*EXP(-H348*'Externe blootstelling'!$D$23/2)*O348</f>
        <v>1.7459860922515474E-2</v>
      </c>
      <c r="Q348" s="68"/>
    </row>
    <row r="349" spans="1:17" x14ac:dyDescent="0.2">
      <c r="A349" s="217"/>
      <c r="B349" s="64" t="s">
        <v>104</v>
      </c>
      <c r="C349" s="66">
        <v>0.85063999999999995</v>
      </c>
      <c r="D349" s="66">
        <f t="shared" si="24"/>
        <v>1.3610239999999999E-13</v>
      </c>
      <c r="E349" s="66">
        <v>2.4099999999999998E-3</v>
      </c>
      <c r="F349" s="66">
        <f>_xlfn.IFNA(INDEX('hp (pSv cm2)'!$B$2:$B$52,MATCH($C349,'hp (pSv cm2)'!$A$2:$A$52,1))+($C349-INDEX('hp (pSv cm2)'!$A$2:$A$52,MATCH($C349,'hp (pSv cm2)'!$A$2:$A$52,1)))*(INDEX('hp (pSv cm2)'!$B$2:$B$52,MATCH($C349,'hp (pSv cm2)'!$A$2:$A$52,1)+1)-INDEX('hp (pSv cm2)'!$B$2:$B$52,MATCH($C349,'hp (pSv cm2)'!$A$2:$A$52,1)))/(INDEX('hp (pSv cm2)'!$A$2:$A$52,MATCH($C349,'hp (pSv cm2)'!$A$2:$A$52,1)+1)-INDEX('hp (pSv cm2)'!$A$2:$A$52,MATCH($C349,'hp (pSv cm2)'!$A$2:$A$52,1))),$C349*'hp (pSv cm2)'!$B$2/'hp (pSv cm2)'!$A$2)</f>
        <v>3.9224319999999997</v>
      </c>
      <c r="G349" s="67">
        <f t="shared" si="25"/>
        <v>9.4530611199999982E-3</v>
      </c>
      <c r="H349" s="83">
        <f>_xlfn.IFNA(0.997*(INDEX('Mass attenuation coefficients'!$B$2:$B$37,MATCH($C349,'Mass attenuation coefficients'!$A$2:$A$37,1))+($C349-INDEX('Mass attenuation coefficients'!$A$2:$A$37,MATCH($C349,'Mass attenuation coefficients'!$A$2:$A$37,1)))*(INDEX('Mass attenuation coefficients'!$B$2:$B$37,MATCH($C349,'Mass attenuation coefficients'!$A$2:$A$37,1)+1)-INDEX('Mass attenuation coefficients'!$B$2:$B$37,MATCH($C349,'Mass attenuation coefficients'!$A$2:$A$37,1)))/(INDEX('Mass attenuation coefficients'!$A$2:$A$37,MATCH($C349,'Mass attenuation coefficients'!$A$2:$A$37,1)+1)-INDEX('Mass attenuation coefficients'!$A$2:$A$37,MATCH($C349,'Mass attenuation coefficients'!$A$2:$A$37,1)))),0.997*$C349*'Mass attenuation coefficients'!$B$2/'Mass attenuation coefficients'!$A$2)</f>
        <v>7.6412197628E-2</v>
      </c>
      <c r="I349" s="83">
        <f>_xlfn.IFNA(INDEX('Shultis Faw'!$C$2:$C$26,MATCH($C349,'Shultis Faw'!$A$2:$A$26,1))+($C349-INDEX('Shultis Faw'!$A$2:$A$26,MATCH($C349,'Shultis Faw'!$A$2:$A$26,1)))*(INDEX('Shultis Faw'!$C$2:$C$26,MATCH($C349,'Shultis Faw'!$A$2:$A$26,1)+1)-INDEX('Shultis Faw'!$C$2:$C$26,MATCH($C349,'Shultis Faw'!$A$2:$A$26,1)))/(INDEX('Shultis Faw'!$A$2:$A$26,MATCH($C349,'Shultis Faw'!$A$2:$A$26,1)+1)-INDEX('Shultis Faw'!$A$2:$A$26,MATCH($C349,'Shultis Faw'!$A$2:$A$26,1))),$C349*'Shultis Faw'!$C$2/'Shultis Faw'!$A$2)</f>
        <v>2.1844012000000004</v>
      </c>
      <c r="J349" s="83">
        <f>_xlfn.IFNA(INDEX('Shultis Faw'!$D$2:$D$26,MATCH($C349,'Shultis Faw'!$A$2:$A$26,1))+($C349-INDEX('Shultis Faw'!$A$2:$A$26,MATCH($C349,'Shultis Faw'!$A$2:$A$26,1)))*(INDEX('Shultis Faw'!$D$2:$D$26,MATCH($C349,'Shultis Faw'!$A$2:$A$26,1)+1)-INDEX('Shultis Faw'!$D$2:$D$26,MATCH($C349,'Shultis Faw'!$A$2:$A$26,1)))/(INDEX('Shultis Faw'!$A$2:$A$26,MATCH($C349,'Shultis Faw'!$A$2:$A$26,1)+1)-INDEX('Shultis Faw'!$A$2:$A$26,MATCH($C349,'Shultis Faw'!$A$2:$A$26,1))),$C349*'Shultis Faw'!$D$2/'Shultis Faw'!$A$2)</f>
        <v>1.5179204000000002</v>
      </c>
      <c r="K349" s="83">
        <f>_xlfn.IFNA(INDEX('Shultis Faw'!$B$2:$B$26,MATCH($C349,'Shultis Faw'!$A$2:$A$26,1))+($C349-INDEX('Shultis Faw'!$A$2:$A$26,MATCH($C349,'Shultis Faw'!$A$2:$A$26,1)))*(INDEX('Shultis Faw'!$B$2:$B$26,MATCH($C349,'Shultis Faw'!$A$2:$A$26,1)+1)-INDEX('Shultis Faw'!$B$2:$B$26,MATCH($C349,'Shultis Faw'!$A$2:$A$26,1)))/(INDEX('Shultis Faw'!$A$2:$A$26,MATCH($C349,'Shultis Faw'!$A$2:$A$26,1)+1)-INDEX('Shultis Faw'!$A$2:$A$26,MATCH($C349,'Shultis Faw'!$A$2:$A$26,1))),$C349*'Shultis Faw'!$B$2/'Shultis Faw'!$A$2)</f>
        <v>-0.10094880000000001</v>
      </c>
      <c r="L349" s="83">
        <f>_xlfn.IFNA(INDEX('Shultis Faw'!$E$2:$E$26,MATCH($C349,'Shultis Faw'!$A$2:$A$26,1))+($C349-INDEX('Shultis Faw'!$A$2:$A$26,MATCH($C349,'Shultis Faw'!$A$2:$A$26,1)))*(INDEX('Shultis Faw'!$E$2:$E$26,MATCH($C349,'Shultis Faw'!$A$2:$A$26,1)+1)-INDEX('Shultis Faw'!$E$2:$E$26,MATCH($C349,'Shultis Faw'!$A$2:$A$26,1)))/(INDEX('Shultis Faw'!$A$2:$A$26,MATCH($C349,'Shultis Faw'!$A$2:$A$26,1)+1)-INDEX('Shultis Faw'!$A$2:$A$26,MATCH($C349,'Shultis Faw'!$A$2:$A$26,1))),$C349*'Shultis Faw'!$E$2/'Shultis Faw'!$A$2)</f>
        <v>4.2206120000000007E-2</v>
      </c>
      <c r="M349" s="83">
        <f>_xlfn.IFNA(INDEX('Shultis Faw'!$F$2:$F$26,MATCH($C349,'Shultis Faw'!$A$2:$A$26,1))+($C349-INDEX('Shultis Faw'!$A$2:$A$26,MATCH($C349,'Shultis Faw'!$A$2:$A$26,1)))*(INDEX('Shultis Faw'!$F$2:$F$26,MATCH($C349,'Shultis Faw'!$A$2:$A$26,1)+1)-INDEX('Shultis Faw'!$F$2:$F$26,MATCH($C349,'Shultis Faw'!$A$2:$A$26,1)))/(INDEX('Shultis Faw'!$A$2:$A$26,MATCH($C349,'Shultis Faw'!$A$2:$A$26,1)+1)-INDEX('Shultis Faw'!$A$2:$A$26,MATCH($C349,'Shultis Faw'!$A$2:$A$26,1))),$C349*'Shultis Faw'!$F$2/'Shultis Faw'!$A$2)</f>
        <v>14.324552000000001</v>
      </c>
      <c r="N349" s="83">
        <f>J349*(H349*'Externe blootstelling'!$D$23/2)^K349+L349*(TANH(((H349*'Externe blootstelling'!$D$23)/(2*M349))-2)-TANH(-2))/(1-TANH(-2))</f>
        <v>1.4972884631723518</v>
      </c>
      <c r="O349" s="83">
        <f>IF(N349=1,1+(I349-1)*H349*'Externe blootstelling'!$D$23/2,1+(I349-1)*(N349^(H349*'Externe blootstelling'!$D$23/2)-1)/(N349-1))</f>
        <v>2.4011617362979152</v>
      </c>
      <c r="P349" s="67">
        <f>G349*EXP(-H349*'Externe blootstelling'!$D$23/2)*O349</f>
        <v>7.2146113923535881E-3</v>
      </c>
      <c r="Q349" s="68"/>
    </row>
    <row r="350" spans="1:17" x14ac:dyDescent="0.2">
      <c r="A350" s="217"/>
      <c r="B350" s="64" t="s">
        <v>104</v>
      </c>
      <c r="C350" s="66">
        <v>0.87318340000000005</v>
      </c>
      <c r="D350" s="66">
        <f t="shared" si="24"/>
        <v>1.3970934399999998E-13</v>
      </c>
      <c r="E350" s="66">
        <v>0.1217</v>
      </c>
      <c r="F350" s="66">
        <f>_xlfn.IFNA(INDEX('hp (pSv cm2)'!$B$2:$B$52,MATCH($C350,'hp (pSv cm2)'!$A$2:$A$52,1))+($C350-INDEX('hp (pSv cm2)'!$A$2:$A$52,MATCH($C350,'hp (pSv cm2)'!$A$2:$A$52,1)))*(INDEX('hp (pSv cm2)'!$B$2:$B$52,MATCH($C350,'hp (pSv cm2)'!$A$2:$A$52,1)+1)-INDEX('hp (pSv cm2)'!$B$2:$B$52,MATCH($C350,'hp (pSv cm2)'!$A$2:$A$52,1)))/(INDEX('hp (pSv cm2)'!$A$2:$A$52,MATCH($C350,'hp (pSv cm2)'!$A$2:$A$52,1)+1)-INDEX('hp (pSv cm2)'!$A$2:$A$52,MATCH($C350,'hp (pSv cm2)'!$A$2:$A$52,1))),$C350*'hp (pSv cm2)'!$B$2/'hp (pSv cm2)'!$A$2)</f>
        <v>4.0080969199999998</v>
      </c>
      <c r="G350" s="67">
        <f t="shared" si="25"/>
        <v>0.48778539516399999</v>
      </c>
      <c r="H350" s="83">
        <f>_xlfn.IFNA(0.997*(INDEX('Mass attenuation coefficients'!$B$2:$B$37,MATCH($C350,'Mass attenuation coefficients'!$A$2:$A$37,1))+($C350-INDEX('Mass attenuation coefficients'!$A$2:$A$37,MATCH($C350,'Mass attenuation coefficients'!$A$2:$A$37,1)))*(INDEX('Mass attenuation coefficients'!$B$2:$B$37,MATCH($C350,'Mass attenuation coefficients'!$A$2:$A$37,1)+1)-INDEX('Mass attenuation coefficients'!$B$2:$B$37,MATCH($C350,'Mass attenuation coefficients'!$A$2:$A$37,1)))/(INDEX('Mass attenuation coefficients'!$A$2:$A$37,MATCH($C350,'Mass attenuation coefficients'!$A$2:$A$37,1)+1)-INDEX('Mass attenuation coefficients'!$A$2:$A$37,MATCH($C350,'Mass attenuation coefficients'!$A$2:$A$37,1)))),0.997*$C350*'Mass attenuation coefficients'!$B$2/'Mass attenuation coefficients'!$A$2)</f>
        <v>7.5521033355430006E-2</v>
      </c>
      <c r="I350" s="83">
        <f>_xlfn.IFNA(INDEX('Shultis Faw'!$C$2:$C$26,MATCH($C350,'Shultis Faw'!$A$2:$A$26,1))+($C350-INDEX('Shultis Faw'!$A$2:$A$26,MATCH($C350,'Shultis Faw'!$A$2:$A$26,1)))*(INDEX('Shultis Faw'!$C$2:$C$26,MATCH($C350,'Shultis Faw'!$A$2:$A$26,1)+1)-INDEX('Shultis Faw'!$C$2:$C$26,MATCH($C350,'Shultis Faw'!$A$2:$A$26,1)))/(INDEX('Shultis Faw'!$A$2:$A$26,MATCH($C350,'Shultis Faw'!$A$2:$A$26,1)+1)-INDEX('Shultis Faw'!$A$2:$A$26,MATCH($C350,'Shultis Faw'!$A$2:$A$26,1))),$C350*'Shultis Faw'!$C$2/'Shultis Faw'!$A$2)</f>
        <v>2.1721150470000001</v>
      </c>
      <c r="J350" s="83">
        <f>_xlfn.IFNA(INDEX('Shultis Faw'!$D$2:$D$26,MATCH($C350,'Shultis Faw'!$A$2:$A$26,1))+($C350-INDEX('Shultis Faw'!$A$2:$A$26,MATCH($C350,'Shultis Faw'!$A$2:$A$26,1)))*(INDEX('Shultis Faw'!$D$2:$D$26,MATCH($C350,'Shultis Faw'!$A$2:$A$26,1)+1)-INDEX('Shultis Faw'!$D$2:$D$26,MATCH($C350,'Shultis Faw'!$A$2:$A$26,1)))/(INDEX('Shultis Faw'!$A$2:$A$26,MATCH($C350,'Shultis Faw'!$A$2:$A$26,1)+1)-INDEX('Shultis Faw'!$A$2:$A$26,MATCH($C350,'Shultis Faw'!$A$2:$A$26,1))),$C350*'Shultis Faw'!$D$2/'Shultis Faw'!$A$2)</f>
        <v>1.5063105489999999</v>
      </c>
      <c r="K350" s="83">
        <f>_xlfn.IFNA(INDEX('Shultis Faw'!$B$2:$B$26,MATCH($C350,'Shultis Faw'!$A$2:$A$26,1))+($C350-INDEX('Shultis Faw'!$A$2:$A$26,MATCH($C350,'Shultis Faw'!$A$2:$A$26,1)))*(INDEX('Shultis Faw'!$B$2:$B$26,MATCH($C350,'Shultis Faw'!$A$2:$A$26,1)+1)-INDEX('Shultis Faw'!$B$2:$B$26,MATCH($C350,'Shultis Faw'!$A$2:$A$26,1)))/(INDEX('Shultis Faw'!$A$2:$A$26,MATCH($C350,'Shultis Faw'!$A$2:$A$26,1)+1)-INDEX('Shultis Faw'!$A$2:$A$26,MATCH($C350,'Shultis Faw'!$A$2:$A$26,1))),$C350*'Shultis Faw'!$B$2/'Shultis Faw'!$A$2)</f>
        <v>-9.9145327999999991E-2</v>
      </c>
      <c r="L350" s="83">
        <f>_xlfn.IFNA(INDEX('Shultis Faw'!$E$2:$E$26,MATCH($C350,'Shultis Faw'!$A$2:$A$26,1))+($C350-INDEX('Shultis Faw'!$A$2:$A$26,MATCH($C350,'Shultis Faw'!$A$2:$A$26,1)))*(INDEX('Shultis Faw'!$E$2:$E$26,MATCH($C350,'Shultis Faw'!$A$2:$A$26,1)+1)-INDEX('Shultis Faw'!$E$2:$E$26,MATCH($C350,'Shultis Faw'!$A$2:$A$26,1)))/(INDEX('Shultis Faw'!$A$2:$A$26,MATCH($C350,'Shultis Faw'!$A$2:$A$26,1)+1)-INDEX('Shultis Faw'!$A$2:$A$26,MATCH($C350,'Shultis Faw'!$A$2:$A$26,1))),$C350*'Shultis Faw'!$E$2/'Shultis Faw'!$A$2)</f>
        <v>4.1541089699999999E-2</v>
      </c>
      <c r="M350" s="83">
        <f>_xlfn.IFNA(INDEX('Shultis Faw'!$F$2:$F$26,MATCH($C350,'Shultis Faw'!$A$2:$A$26,1))+($C350-INDEX('Shultis Faw'!$A$2:$A$26,MATCH($C350,'Shultis Faw'!$A$2:$A$26,1)))*(INDEX('Shultis Faw'!$F$2:$F$26,MATCH($C350,'Shultis Faw'!$A$2:$A$26,1)+1)-INDEX('Shultis Faw'!$F$2:$F$26,MATCH($C350,'Shultis Faw'!$A$2:$A$26,1)))/(INDEX('Shultis Faw'!$A$2:$A$26,MATCH($C350,'Shultis Faw'!$A$2:$A$26,1)+1)-INDEX('Shultis Faw'!$A$2:$A$26,MATCH($C350,'Shultis Faw'!$A$2:$A$26,1))),$C350*'Shultis Faw'!$F$2/'Shultis Faw'!$A$2)</f>
        <v>14.30877162</v>
      </c>
      <c r="N350" s="83">
        <f>J350*(H350*'Externe blootstelling'!$D$23/2)^K350+L350*(TANH(((H350*'Externe blootstelling'!$D$23)/(2*M350))-2)-TANH(-2))/(1-TANH(-2))</f>
        <v>1.4879289333106398</v>
      </c>
      <c r="O350" s="83">
        <f>IF(N350=1,1+(I350-1)*H350*'Externe blootstelling'!$D$23/2,1+(I350-1)*(N350^(H350*'Externe blootstelling'!$D$23/2)-1)/(N350-1))</f>
        <v>2.3658319349906485</v>
      </c>
      <c r="P350" s="67">
        <f>G350*EXP(-H350*'Externe blootstelling'!$D$23/2)*O350</f>
        <v>0.37173817448164836</v>
      </c>
      <c r="Q350" s="68"/>
    </row>
    <row r="351" spans="1:17" x14ac:dyDescent="0.2">
      <c r="A351" s="217"/>
      <c r="B351" s="64" t="s">
        <v>104</v>
      </c>
      <c r="C351" s="66">
        <v>0.88060000000000005</v>
      </c>
      <c r="D351" s="66">
        <f t="shared" si="24"/>
        <v>1.40896E-13</v>
      </c>
      <c r="E351" s="66">
        <v>8.1000000000000006E-4</v>
      </c>
      <c r="F351" s="66">
        <f>_xlfn.IFNA(INDEX('hp (pSv cm2)'!$B$2:$B$52,MATCH($C351,'hp (pSv cm2)'!$A$2:$A$52,1))+($C351-INDEX('hp (pSv cm2)'!$A$2:$A$52,MATCH($C351,'hp (pSv cm2)'!$A$2:$A$52,1)))*(INDEX('hp (pSv cm2)'!$B$2:$B$52,MATCH($C351,'hp (pSv cm2)'!$A$2:$A$52,1)+1)-INDEX('hp (pSv cm2)'!$B$2:$B$52,MATCH($C351,'hp (pSv cm2)'!$A$2:$A$52,1)))/(INDEX('hp (pSv cm2)'!$A$2:$A$52,MATCH($C351,'hp (pSv cm2)'!$A$2:$A$52,1)+1)-INDEX('hp (pSv cm2)'!$A$2:$A$52,MATCH($C351,'hp (pSv cm2)'!$A$2:$A$52,1))),$C351*'hp (pSv cm2)'!$B$2/'hp (pSv cm2)'!$A$2)</f>
        <v>4.0362800000000005</v>
      </c>
      <c r="G351" s="67">
        <f t="shared" si="25"/>
        <v>3.2693868000000007E-3</v>
      </c>
      <c r="H351" s="83">
        <f>_xlfn.IFNA(0.997*(INDEX('Mass attenuation coefficients'!$B$2:$B$37,MATCH($C351,'Mass attenuation coefficients'!$A$2:$A$37,1))+($C351-INDEX('Mass attenuation coefficients'!$A$2:$A$37,MATCH($C351,'Mass attenuation coefficients'!$A$2:$A$37,1)))*(INDEX('Mass attenuation coefficients'!$B$2:$B$37,MATCH($C351,'Mass attenuation coefficients'!$A$2:$A$37,1)+1)-INDEX('Mass attenuation coefficients'!$B$2:$B$37,MATCH($C351,'Mass attenuation coefficients'!$A$2:$A$37,1)))/(INDEX('Mass attenuation coefficients'!$A$2:$A$37,MATCH($C351,'Mass attenuation coefficients'!$A$2:$A$37,1)+1)-INDEX('Mass attenuation coefficients'!$A$2:$A$37,MATCH($C351,'Mass attenuation coefficients'!$A$2:$A$37,1)))),0.997*$C351*'Mass attenuation coefficients'!$B$2/'Mass attenuation coefficients'!$A$2)</f>
        <v>7.5227847369999989E-2</v>
      </c>
      <c r="I351" s="83">
        <f>_xlfn.IFNA(INDEX('Shultis Faw'!$C$2:$C$26,MATCH($C351,'Shultis Faw'!$A$2:$A$26,1))+($C351-INDEX('Shultis Faw'!$A$2:$A$26,MATCH($C351,'Shultis Faw'!$A$2:$A$26,1)))*(INDEX('Shultis Faw'!$C$2:$C$26,MATCH($C351,'Shultis Faw'!$A$2:$A$26,1)+1)-INDEX('Shultis Faw'!$C$2:$C$26,MATCH($C351,'Shultis Faw'!$A$2:$A$26,1)))/(INDEX('Shultis Faw'!$A$2:$A$26,MATCH($C351,'Shultis Faw'!$A$2:$A$26,1)+1)-INDEX('Shultis Faw'!$A$2:$A$26,MATCH($C351,'Shultis Faw'!$A$2:$A$26,1))),$C351*'Shultis Faw'!$C$2/'Shultis Faw'!$A$2)</f>
        <v>2.1680730000000001</v>
      </c>
      <c r="J351" s="83">
        <f>_xlfn.IFNA(INDEX('Shultis Faw'!$D$2:$D$26,MATCH($C351,'Shultis Faw'!$A$2:$A$26,1))+($C351-INDEX('Shultis Faw'!$A$2:$A$26,MATCH($C351,'Shultis Faw'!$A$2:$A$26,1)))*(INDEX('Shultis Faw'!$D$2:$D$26,MATCH($C351,'Shultis Faw'!$A$2:$A$26,1)+1)-INDEX('Shultis Faw'!$D$2:$D$26,MATCH($C351,'Shultis Faw'!$A$2:$A$26,1)))/(INDEX('Shultis Faw'!$A$2:$A$26,MATCH($C351,'Shultis Faw'!$A$2:$A$26,1)+1)-INDEX('Shultis Faw'!$A$2:$A$26,MATCH($C351,'Shultis Faw'!$A$2:$A$26,1))),$C351*'Shultis Faw'!$D$2/'Shultis Faw'!$A$2)</f>
        <v>1.502491</v>
      </c>
      <c r="K351" s="83">
        <f>_xlfn.IFNA(INDEX('Shultis Faw'!$B$2:$B$26,MATCH($C351,'Shultis Faw'!$A$2:$A$26,1))+($C351-INDEX('Shultis Faw'!$A$2:$A$26,MATCH($C351,'Shultis Faw'!$A$2:$A$26,1)))*(INDEX('Shultis Faw'!$B$2:$B$26,MATCH($C351,'Shultis Faw'!$A$2:$A$26,1)+1)-INDEX('Shultis Faw'!$B$2:$B$26,MATCH($C351,'Shultis Faw'!$A$2:$A$26,1)))/(INDEX('Shultis Faw'!$A$2:$A$26,MATCH($C351,'Shultis Faw'!$A$2:$A$26,1)+1)-INDEX('Shultis Faw'!$A$2:$A$26,MATCH($C351,'Shultis Faw'!$A$2:$A$26,1))),$C351*'Shultis Faw'!$B$2/'Shultis Faw'!$A$2)</f>
        <v>-9.8552000000000001E-2</v>
      </c>
      <c r="L351" s="83">
        <f>_xlfn.IFNA(INDEX('Shultis Faw'!$E$2:$E$26,MATCH($C351,'Shultis Faw'!$A$2:$A$26,1))+($C351-INDEX('Shultis Faw'!$A$2:$A$26,MATCH($C351,'Shultis Faw'!$A$2:$A$26,1)))*(INDEX('Shultis Faw'!$E$2:$E$26,MATCH($C351,'Shultis Faw'!$A$2:$A$26,1)+1)-INDEX('Shultis Faw'!$E$2:$E$26,MATCH($C351,'Shultis Faw'!$A$2:$A$26,1)))/(INDEX('Shultis Faw'!$A$2:$A$26,MATCH($C351,'Shultis Faw'!$A$2:$A$26,1)+1)-INDEX('Shultis Faw'!$A$2:$A$26,MATCH($C351,'Shultis Faw'!$A$2:$A$26,1))),$C351*'Shultis Faw'!$E$2/'Shultis Faw'!$A$2)</f>
        <v>4.1322299999999999E-2</v>
      </c>
      <c r="M351" s="83">
        <f>_xlfn.IFNA(INDEX('Shultis Faw'!$F$2:$F$26,MATCH($C351,'Shultis Faw'!$A$2:$A$26,1))+($C351-INDEX('Shultis Faw'!$A$2:$A$26,MATCH($C351,'Shultis Faw'!$A$2:$A$26,1)))*(INDEX('Shultis Faw'!$F$2:$F$26,MATCH($C351,'Shultis Faw'!$A$2:$A$26,1)+1)-INDEX('Shultis Faw'!$F$2:$F$26,MATCH($C351,'Shultis Faw'!$A$2:$A$26,1)))/(INDEX('Shultis Faw'!$A$2:$A$26,MATCH($C351,'Shultis Faw'!$A$2:$A$26,1)+1)-INDEX('Shultis Faw'!$A$2:$A$26,MATCH($C351,'Shultis Faw'!$A$2:$A$26,1))),$C351*'Shultis Faw'!$F$2/'Shultis Faw'!$A$2)</f>
        <v>14.30358</v>
      </c>
      <c r="N351" s="83">
        <f>J351*(H351*'Externe blootstelling'!$D$23/2)^K351+L351*(TANH(((H351*'Externe blootstelling'!$D$23)/(2*M351))-2)-TANH(-2))/(1-TANH(-2))</f>
        <v>1.4848340129076929</v>
      </c>
      <c r="O351" s="83">
        <f>IF(N351=1,1+(I351-1)*H351*'Externe blootstelling'!$D$23/2,1+(I351-1)*(N351^(H351*'Externe blootstelling'!$D$23/2)-1)/(N351-1))</f>
        <v>2.3543587816051486</v>
      </c>
      <c r="P351" s="67">
        <f>G351*EXP(-H351*'Externe blootstelling'!$D$23/2)*O351</f>
        <v>2.4904244172810658E-3</v>
      </c>
      <c r="Q351" s="68"/>
    </row>
    <row r="352" spans="1:17" x14ac:dyDescent="0.2">
      <c r="A352" s="217"/>
      <c r="B352" s="64" t="s">
        <v>104</v>
      </c>
      <c r="C352" s="66">
        <v>0.89277499999999999</v>
      </c>
      <c r="D352" s="66">
        <f t="shared" si="24"/>
        <v>1.4284399999999999E-13</v>
      </c>
      <c r="E352" s="66">
        <v>5.1400000000000005E-3</v>
      </c>
      <c r="F352" s="66">
        <f>_xlfn.IFNA(INDEX('hp (pSv cm2)'!$B$2:$B$52,MATCH($C352,'hp (pSv cm2)'!$A$2:$A$52,1))+($C352-INDEX('hp (pSv cm2)'!$A$2:$A$52,MATCH($C352,'hp (pSv cm2)'!$A$2:$A$52,1)))*(INDEX('hp (pSv cm2)'!$B$2:$B$52,MATCH($C352,'hp (pSv cm2)'!$A$2:$A$52,1)+1)-INDEX('hp (pSv cm2)'!$B$2:$B$52,MATCH($C352,'hp (pSv cm2)'!$A$2:$A$52,1)))/(INDEX('hp (pSv cm2)'!$A$2:$A$52,MATCH($C352,'hp (pSv cm2)'!$A$2:$A$52,1)+1)-INDEX('hp (pSv cm2)'!$A$2:$A$52,MATCH($C352,'hp (pSv cm2)'!$A$2:$A$52,1))),$C352*'hp (pSv cm2)'!$B$2/'hp (pSv cm2)'!$A$2)</f>
        <v>4.0825449999999996</v>
      </c>
      <c r="G352" s="67">
        <f t="shared" si="25"/>
        <v>2.0984281300000001E-2</v>
      </c>
      <c r="H352" s="83">
        <f>_xlfn.IFNA(0.997*(INDEX('Mass attenuation coefficients'!$B$2:$B$37,MATCH($C352,'Mass attenuation coefficients'!$A$2:$A$37,1))+($C352-INDEX('Mass attenuation coefficients'!$A$2:$A$37,MATCH($C352,'Mass attenuation coefficients'!$A$2:$A$37,1)))*(INDEX('Mass attenuation coefficients'!$B$2:$B$37,MATCH($C352,'Mass attenuation coefficients'!$A$2:$A$37,1)+1)-INDEX('Mass attenuation coefficients'!$B$2:$B$37,MATCH($C352,'Mass attenuation coefficients'!$A$2:$A$37,1)))/(INDEX('Mass attenuation coefficients'!$A$2:$A$37,MATCH($C352,'Mass attenuation coefficients'!$A$2:$A$37,1)+1)-INDEX('Mass attenuation coefficients'!$A$2:$A$37,MATCH($C352,'Mass attenuation coefficients'!$A$2:$A$37,1)))),0.997*$C352*'Mass attenuation coefficients'!$B$2/'Mass attenuation coefficients'!$A$2)</f>
        <v>7.4746556836250005E-2</v>
      </c>
      <c r="I352" s="83">
        <f>_xlfn.IFNA(INDEX('Shultis Faw'!$C$2:$C$26,MATCH($C352,'Shultis Faw'!$A$2:$A$26,1))+($C352-INDEX('Shultis Faw'!$A$2:$A$26,MATCH($C352,'Shultis Faw'!$A$2:$A$26,1)))*(INDEX('Shultis Faw'!$C$2:$C$26,MATCH($C352,'Shultis Faw'!$A$2:$A$26,1)+1)-INDEX('Shultis Faw'!$C$2:$C$26,MATCH($C352,'Shultis Faw'!$A$2:$A$26,1)))/(INDEX('Shultis Faw'!$A$2:$A$26,MATCH($C352,'Shultis Faw'!$A$2:$A$26,1)+1)-INDEX('Shultis Faw'!$A$2:$A$26,MATCH($C352,'Shultis Faw'!$A$2:$A$26,1))),$C352*'Shultis Faw'!$C$2/'Shultis Faw'!$A$2)</f>
        <v>2.161437625</v>
      </c>
      <c r="J352" s="83">
        <f>_xlfn.IFNA(INDEX('Shultis Faw'!$D$2:$D$26,MATCH($C352,'Shultis Faw'!$A$2:$A$26,1))+($C352-INDEX('Shultis Faw'!$A$2:$A$26,MATCH($C352,'Shultis Faw'!$A$2:$A$26,1)))*(INDEX('Shultis Faw'!$D$2:$D$26,MATCH($C352,'Shultis Faw'!$A$2:$A$26,1)+1)-INDEX('Shultis Faw'!$D$2:$D$26,MATCH($C352,'Shultis Faw'!$A$2:$A$26,1)))/(INDEX('Shultis Faw'!$A$2:$A$26,MATCH($C352,'Shultis Faw'!$A$2:$A$26,1)+1)-INDEX('Shultis Faw'!$A$2:$A$26,MATCH($C352,'Shultis Faw'!$A$2:$A$26,1))),$C352*'Shultis Faw'!$D$2/'Shultis Faw'!$A$2)</f>
        <v>1.4962208750000001</v>
      </c>
      <c r="K352" s="83">
        <f>_xlfn.IFNA(INDEX('Shultis Faw'!$B$2:$B$26,MATCH($C352,'Shultis Faw'!$A$2:$A$26,1))+($C352-INDEX('Shultis Faw'!$A$2:$A$26,MATCH($C352,'Shultis Faw'!$A$2:$A$26,1)))*(INDEX('Shultis Faw'!$B$2:$B$26,MATCH($C352,'Shultis Faw'!$A$2:$A$26,1)+1)-INDEX('Shultis Faw'!$B$2:$B$26,MATCH($C352,'Shultis Faw'!$A$2:$A$26,1)))/(INDEX('Shultis Faw'!$A$2:$A$26,MATCH($C352,'Shultis Faw'!$A$2:$A$26,1)+1)-INDEX('Shultis Faw'!$A$2:$A$26,MATCH($C352,'Shultis Faw'!$A$2:$A$26,1))),$C352*'Shultis Faw'!$B$2/'Shultis Faw'!$A$2)</f>
        <v>-9.7577999999999998E-2</v>
      </c>
      <c r="L352" s="83">
        <f>_xlfn.IFNA(INDEX('Shultis Faw'!$E$2:$E$26,MATCH($C352,'Shultis Faw'!$A$2:$A$26,1))+($C352-INDEX('Shultis Faw'!$A$2:$A$26,MATCH($C352,'Shultis Faw'!$A$2:$A$26,1)))*(INDEX('Shultis Faw'!$E$2:$E$26,MATCH($C352,'Shultis Faw'!$A$2:$A$26,1)+1)-INDEX('Shultis Faw'!$E$2:$E$26,MATCH($C352,'Shultis Faw'!$A$2:$A$26,1)))/(INDEX('Shultis Faw'!$A$2:$A$26,MATCH($C352,'Shultis Faw'!$A$2:$A$26,1)+1)-INDEX('Shultis Faw'!$A$2:$A$26,MATCH($C352,'Shultis Faw'!$A$2:$A$26,1))),$C352*'Shultis Faw'!$E$2/'Shultis Faw'!$A$2)</f>
        <v>4.0963137500000003E-2</v>
      </c>
      <c r="M352" s="83">
        <f>_xlfn.IFNA(INDEX('Shultis Faw'!$F$2:$F$26,MATCH($C352,'Shultis Faw'!$A$2:$A$26,1))+($C352-INDEX('Shultis Faw'!$A$2:$A$26,MATCH($C352,'Shultis Faw'!$A$2:$A$26,1)))*(INDEX('Shultis Faw'!$F$2:$F$26,MATCH($C352,'Shultis Faw'!$A$2:$A$26,1)+1)-INDEX('Shultis Faw'!$F$2:$F$26,MATCH($C352,'Shultis Faw'!$A$2:$A$26,1)))/(INDEX('Shultis Faw'!$A$2:$A$26,MATCH($C352,'Shultis Faw'!$A$2:$A$26,1)+1)-INDEX('Shultis Faw'!$A$2:$A$26,MATCH($C352,'Shultis Faw'!$A$2:$A$26,1))),$C352*'Shultis Faw'!$F$2/'Shultis Faw'!$A$2)</f>
        <v>14.2950575</v>
      </c>
      <c r="N352" s="83">
        <f>J352*(H352*'Externe blootstelling'!$D$23/2)^K352+L352*(TANH(((H352*'Externe blootstelling'!$D$23)/(2*M352))-2)-TANH(-2))/(1-TANH(-2))</f>
        <v>1.4797365822076163</v>
      </c>
      <c r="O352" s="83">
        <f>IF(N352=1,1+(I352-1)*H352*'Externe blootstelling'!$D$23/2,1+(I352-1)*(N352^(H352*'Externe blootstelling'!$D$23/2)-1)/(N352-1))</f>
        <v>2.3356838973215517</v>
      </c>
      <c r="P352" s="67">
        <f>G352*EXP(-H352*'Externe blootstelling'!$D$23/2)*O352</f>
        <v>1.5972684320050175E-2</v>
      </c>
      <c r="Q352" s="68"/>
    </row>
    <row r="353" spans="1:17" x14ac:dyDescent="0.2">
      <c r="A353" s="217"/>
      <c r="B353" s="64" t="s">
        <v>104</v>
      </c>
      <c r="C353" s="66">
        <v>0.89836000000000005</v>
      </c>
      <c r="D353" s="66">
        <f t="shared" si="24"/>
        <v>1.437376E-13</v>
      </c>
      <c r="E353" s="66">
        <v>2.0000000000000002E-5</v>
      </c>
      <c r="F353" s="66">
        <f>_xlfn.IFNA(INDEX('hp (pSv cm2)'!$B$2:$B$52,MATCH($C353,'hp (pSv cm2)'!$A$2:$A$52,1))+($C353-INDEX('hp (pSv cm2)'!$A$2:$A$52,MATCH($C353,'hp (pSv cm2)'!$A$2:$A$52,1)))*(INDEX('hp (pSv cm2)'!$B$2:$B$52,MATCH($C353,'hp (pSv cm2)'!$A$2:$A$52,1)+1)-INDEX('hp (pSv cm2)'!$B$2:$B$52,MATCH($C353,'hp (pSv cm2)'!$A$2:$A$52,1)))/(INDEX('hp (pSv cm2)'!$A$2:$A$52,MATCH($C353,'hp (pSv cm2)'!$A$2:$A$52,1)+1)-INDEX('hp (pSv cm2)'!$A$2:$A$52,MATCH($C353,'hp (pSv cm2)'!$A$2:$A$52,1))),$C353*'hp (pSv cm2)'!$B$2/'hp (pSv cm2)'!$A$2)</f>
        <v>4.1037680000000005</v>
      </c>
      <c r="G353" s="67">
        <f t="shared" si="25"/>
        <v>8.2075360000000014E-5</v>
      </c>
      <c r="H353" s="83">
        <f>_xlfn.IFNA(0.997*(INDEX('Mass attenuation coefficients'!$B$2:$B$37,MATCH($C353,'Mass attenuation coefficients'!$A$2:$A$37,1))+($C353-INDEX('Mass attenuation coefficients'!$A$2:$A$37,MATCH($C353,'Mass attenuation coefficients'!$A$2:$A$37,1)))*(INDEX('Mass attenuation coefficients'!$B$2:$B$37,MATCH($C353,'Mass attenuation coefficients'!$A$2:$A$37,1)+1)-INDEX('Mass attenuation coefficients'!$B$2:$B$37,MATCH($C353,'Mass attenuation coefficients'!$A$2:$A$37,1)))/(INDEX('Mass attenuation coefficients'!$A$2:$A$37,MATCH($C353,'Mass attenuation coefficients'!$A$2:$A$37,1)+1)-INDEX('Mass attenuation coefficients'!$A$2:$A$37,MATCH($C353,'Mass attenuation coefficients'!$A$2:$A$37,1)))),0.997*$C353*'Mass attenuation coefficients'!$B$2/'Mass attenuation coefficients'!$A$2)</f>
        <v>7.4525775921999993E-2</v>
      </c>
      <c r="I353" s="83">
        <f>_xlfn.IFNA(INDEX('Shultis Faw'!$C$2:$C$26,MATCH($C353,'Shultis Faw'!$A$2:$A$26,1))+($C353-INDEX('Shultis Faw'!$A$2:$A$26,MATCH($C353,'Shultis Faw'!$A$2:$A$26,1)))*(INDEX('Shultis Faw'!$C$2:$C$26,MATCH($C353,'Shultis Faw'!$A$2:$A$26,1)+1)-INDEX('Shultis Faw'!$C$2:$C$26,MATCH($C353,'Shultis Faw'!$A$2:$A$26,1)))/(INDEX('Shultis Faw'!$A$2:$A$26,MATCH($C353,'Shultis Faw'!$A$2:$A$26,1)+1)-INDEX('Shultis Faw'!$A$2:$A$26,MATCH($C353,'Shultis Faw'!$A$2:$A$26,1))),$C353*'Shultis Faw'!$C$2/'Shultis Faw'!$A$2)</f>
        <v>2.1583938000000003</v>
      </c>
      <c r="J353" s="83">
        <f>_xlfn.IFNA(INDEX('Shultis Faw'!$D$2:$D$26,MATCH($C353,'Shultis Faw'!$A$2:$A$26,1))+($C353-INDEX('Shultis Faw'!$A$2:$A$26,MATCH($C353,'Shultis Faw'!$A$2:$A$26,1)))*(INDEX('Shultis Faw'!$D$2:$D$26,MATCH($C353,'Shultis Faw'!$A$2:$A$26,1)+1)-INDEX('Shultis Faw'!$D$2:$D$26,MATCH($C353,'Shultis Faw'!$A$2:$A$26,1)))/(INDEX('Shultis Faw'!$A$2:$A$26,MATCH($C353,'Shultis Faw'!$A$2:$A$26,1)+1)-INDEX('Shultis Faw'!$A$2:$A$26,MATCH($C353,'Shultis Faw'!$A$2:$A$26,1))),$C353*'Shultis Faw'!$D$2/'Shultis Faw'!$A$2)</f>
        <v>1.4933446000000001</v>
      </c>
      <c r="K353" s="83">
        <f>_xlfn.IFNA(INDEX('Shultis Faw'!$B$2:$B$26,MATCH($C353,'Shultis Faw'!$A$2:$A$26,1))+($C353-INDEX('Shultis Faw'!$A$2:$A$26,MATCH($C353,'Shultis Faw'!$A$2:$A$26,1)))*(INDEX('Shultis Faw'!$B$2:$B$26,MATCH($C353,'Shultis Faw'!$A$2:$A$26,1)+1)-INDEX('Shultis Faw'!$B$2:$B$26,MATCH($C353,'Shultis Faw'!$A$2:$A$26,1)))/(INDEX('Shultis Faw'!$A$2:$A$26,MATCH($C353,'Shultis Faw'!$A$2:$A$26,1)+1)-INDEX('Shultis Faw'!$A$2:$A$26,MATCH($C353,'Shultis Faw'!$A$2:$A$26,1))),$C353*'Shultis Faw'!$B$2/'Shultis Faw'!$A$2)</f>
        <v>-9.7131200000000001E-2</v>
      </c>
      <c r="L353" s="83">
        <f>_xlfn.IFNA(INDEX('Shultis Faw'!$E$2:$E$26,MATCH($C353,'Shultis Faw'!$A$2:$A$26,1))+($C353-INDEX('Shultis Faw'!$A$2:$A$26,MATCH($C353,'Shultis Faw'!$A$2:$A$26,1)))*(INDEX('Shultis Faw'!$E$2:$E$26,MATCH($C353,'Shultis Faw'!$A$2:$A$26,1)+1)-INDEX('Shultis Faw'!$E$2:$E$26,MATCH($C353,'Shultis Faw'!$A$2:$A$26,1)))/(INDEX('Shultis Faw'!$A$2:$A$26,MATCH($C353,'Shultis Faw'!$A$2:$A$26,1)+1)-INDEX('Shultis Faw'!$A$2:$A$26,MATCH($C353,'Shultis Faw'!$A$2:$A$26,1))),$C353*'Shultis Faw'!$E$2/'Shultis Faw'!$A$2)</f>
        <v>4.0798380000000002E-2</v>
      </c>
      <c r="M353" s="83">
        <f>_xlfn.IFNA(INDEX('Shultis Faw'!$F$2:$F$26,MATCH($C353,'Shultis Faw'!$A$2:$A$26,1))+($C353-INDEX('Shultis Faw'!$A$2:$A$26,MATCH($C353,'Shultis Faw'!$A$2:$A$26,1)))*(INDEX('Shultis Faw'!$F$2:$F$26,MATCH($C353,'Shultis Faw'!$A$2:$A$26,1)+1)-INDEX('Shultis Faw'!$F$2:$F$26,MATCH($C353,'Shultis Faw'!$A$2:$A$26,1)))/(INDEX('Shultis Faw'!$A$2:$A$26,MATCH($C353,'Shultis Faw'!$A$2:$A$26,1)+1)-INDEX('Shultis Faw'!$A$2:$A$26,MATCH($C353,'Shultis Faw'!$A$2:$A$26,1))),$C353*'Shultis Faw'!$F$2/'Shultis Faw'!$A$2)</f>
        <v>14.291148</v>
      </c>
      <c r="N353" s="83">
        <f>J353*(H353*'Externe blootstelling'!$D$23/2)^K353+L353*(TANH(((H353*'Externe blootstelling'!$D$23)/(2*M353))-2)-TANH(-2))/(1-TANH(-2))</f>
        <v>1.4773912520705561</v>
      </c>
      <c r="O353" s="83">
        <f>IF(N353=1,1+(I353-1)*H353*'Externe blootstelling'!$D$23/2,1+(I353-1)*(N353^(H353*'Externe blootstelling'!$D$23/2)-1)/(N353-1))</f>
        <v>2.3271830290015707</v>
      </c>
      <c r="P353" s="67">
        <f>G353*EXP(-H353*'Externe blootstelling'!$D$23/2)*O353</f>
        <v>6.2452717254057191E-5</v>
      </c>
      <c r="Q353" s="68"/>
    </row>
    <row r="354" spans="1:17" x14ac:dyDescent="0.2">
      <c r="A354" s="217"/>
      <c r="B354" s="64" t="s">
        <v>104</v>
      </c>
      <c r="C354" s="66">
        <v>0.90406399999999998</v>
      </c>
      <c r="D354" s="66">
        <f t="shared" si="24"/>
        <v>1.4465024E-13</v>
      </c>
      <c r="E354" s="66">
        <v>8.8999999999999999E-3</v>
      </c>
      <c r="F354" s="66">
        <f>_xlfn.IFNA(INDEX('hp (pSv cm2)'!$B$2:$B$52,MATCH($C354,'hp (pSv cm2)'!$A$2:$A$52,1))+($C354-INDEX('hp (pSv cm2)'!$A$2:$A$52,MATCH($C354,'hp (pSv cm2)'!$A$2:$A$52,1)))*(INDEX('hp (pSv cm2)'!$B$2:$B$52,MATCH($C354,'hp (pSv cm2)'!$A$2:$A$52,1)+1)-INDEX('hp (pSv cm2)'!$B$2:$B$52,MATCH($C354,'hp (pSv cm2)'!$A$2:$A$52,1)))/(INDEX('hp (pSv cm2)'!$A$2:$A$52,MATCH($C354,'hp (pSv cm2)'!$A$2:$A$52,1)+1)-INDEX('hp (pSv cm2)'!$A$2:$A$52,MATCH($C354,'hp (pSv cm2)'!$A$2:$A$52,1))),$C354*'hp (pSv cm2)'!$B$2/'hp (pSv cm2)'!$A$2)</f>
        <v>4.1254432000000003</v>
      </c>
      <c r="G354" s="67">
        <f t="shared" si="25"/>
        <v>3.6716444480000006E-2</v>
      </c>
      <c r="H354" s="83">
        <f>_xlfn.IFNA(0.997*(INDEX('Mass attenuation coefficients'!$B$2:$B$37,MATCH($C354,'Mass attenuation coefficients'!$A$2:$A$37,1))+($C354-INDEX('Mass attenuation coefficients'!$A$2:$A$37,MATCH($C354,'Mass attenuation coefficients'!$A$2:$A$37,1)))*(INDEX('Mass attenuation coefficients'!$B$2:$B$37,MATCH($C354,'Mass attenuation coefficients'!$A$2:$A$37,1)+1)-INDEX('Mass attenuation coefficients'!$B$2:$B$37,MATCH($C354,'Mass attenuation coefficients'!$A$2:$A$37,1)))/(INDEX('Mass attenuation coefficients'!$A$2:$A$37,MATCH($C354,'Mass attenuation coefficients'!$A$2:$A$37,1)+1)-INDEX('Mass attenuation coefficients'!$A$2:$A$37,MATCH($C354,'Mass attenuation coefficients'!$A$2:$A$37,1)))),0.997*$C354*'Mass attenuation coefficients'!$B$2/'Mass attenuation coefficients'!$A$2)</f>
        <v>7.4300290812799999E-2</v>
      </c>
      <c r="I354" s="83">
        <f>_xlfn.IFNA(INDEX('Shultis Faw'!$C$2:$C$26,MATCH($C354,'Shultis Faw'!$A$2:$A$26,1))+($C354-INDEX('Shultis Faw'!$A$2:$A$26,MATCH($C354,'Shultis Faw'!$A$2:$A$26,1)))*(INDEX('Shultis Faw'!$C$2:$C$26,MATCH($C354,'Shultis Faw'!$A$2:$A$26,1)+1)-INDEX('Shultis Faw'!$C$2:$C$26,MATCH($C354,'Shultis Faw'!$A$2:$A$26,1)))/(INDEX('Shultis Faw'!$A$2:$A$26,MATCH($C354,'Shultis Faw'!$A$2:$A$26,1)+1)-INDEX('Shultis Faw'!$A$2:$A$26,MATCH($C354,'Shultis Faw'!$A$2:$A$26,1))),$C354*'Shultis Faw'!$C$2/'Shultis Faw'!$A$2)</f>
        <v>2.1552851200000003</v>
      </c>
      <c r="J354" s="83">
        <f>_xlfn.IFNA(INDEX('Shultis Faw'!$D$2:$D$26,MATCH($C354,'Shultis Faw'!$A$2:$A$26,1))+($C354-INDEX('Shultis Faw'!$A$2:$A$26,MATCH($C354,'Shultis Faw'!$A$2:$A$26,1)))*(INDEX('Shultis Faw'!$D$2:$D$26,MATCH($C354,'Shultis Faw'!$A$2:$A$26,1)+1)-INDEX('Shultis Faw'!$D$2:$D$26,MATCH($C354,'Shultis Faw'!$A$2:$A$26,1)))/(INDEX('Shultis Faw'!$A$2:$A$26,MATCH($C354,'Shultis Faw'!$A$2:$A$26,1)+1)-INDEX('Shultis Faw'!$A$2:$A$26,MATCH($C354,'Shultis Faw'!$A$2:$A$26,1))),$C354*'Shultis Faw'!$D$2/'Shultis Faw'!$A$2)</f>
        <v>1.49040704</v>
      </c>
      <c r="K354" s="83">
        <f>_xlfn.IFNA(INDEX('Shultis Faw'!$B$2:$B$26,MATCH($C354,'Shultis Faw'!$A$2:$A$26,1))+($C354-INDEX('Shultis Faw'!$A$2:$A$26,MATCH($C354,'Shultis Faw'!$A$2:$A$26,1)))*(INDEX('Shultis Faw'!$B$2:$B$26,MATCH($C354,'Shultis Faw'!$A$2:$A$26,1)+1)-INDEX('Shultis Faw'!$B$2:$B$26,MATCH($C354,'Shultis Faw'!$A$2:$A$26,1)))/(INDEX('Shultis Faw'!$A$2:$A$26,MATCH($C354,'Shultis Faw'!$A$2:$A$26,1)+1)-INDEX('Shultis Faw'!$A$2:$A$26,MATCH($C354,'Shultis Faw'!$A$2:$A$26,1))),$C354*'Shultis Faw'!$B$2/'Shultis Faw'!$A$2)</f>
        <v>-9.6674880000000005E-2</v>
      </c>
      <c r="L354" s="83">
        <f>_xlfn.IFNA(INDEX('Shultis Faw'!$E$2:$E$26,MATCH($C354,'Shultis Faw'!$A$2:$A$26,1))+($C354-INDEX('Shultis Faw'!$A$2:$A$26,MATCH($C354,'Shultis Faw'!$A$2:$A$26,1)))*(INDEX('Shultis Faw'!$E$2:$E$26,MATCH($C354,'Shultis Faw'!$A$2:$A$26,1)+1)-INDEX('Shultis Faw'!$E$2:$E$26,MATCH($C354,'Shultis Faw'!$A$2:$A$26,1)))/(INDEX('Shultis Faw'!$A$2:$A$26,MATCH($C354,'Shultis Faw'!$A$2:$A$26,1)+1)-INDEX('Shultis Faw'!$A$2:$A$26,MATCH($C354,'Shultis Faw'!$A$2:$A$26,1))),$C354*'Shultis Faw'!$E$2/'Shultis Faw'!$A$2)</f>
        <v>4.0630112000000003E-2</v>
      </c>
      <c r="M354" s="83">
        <f>_xlfn.IFNA(INDEX('Shultis Faw'!$F$2:$F$26,MATCH($C354,'Shultis Faw'!$A$2:$A$26,1))+($C354-INDEX('Shultis Faw'!$A$2:$A$26,MATCH($C354,'Shultis Faw'!$A$2:$A$26,1)))*(INDEX('Shultis Faw'!$F$2:$F$26,MATCH($C354,'Shultis Faw'!$A$2:$A$26,1)+1)-INDEX('Shultis Faw'!$F$2:$F$26,MATCH($C354,'Shultis Faw'!$A$2:$A$26,1)))/(INDEX('Shultis Faw'!$A$2:$A$26,MATCH($C354,'Shultis Faw'!$A$2:$A$26,1)+1)-INDEX('Shultis Faw'!$A$2:$A$26,MATCH($C354,'Shultis Faw'!$A$2:$A$26,1))),$C354*'Shultis Faw'!$F$2/'Shultis Faw'!$A$2)</f>
        <v>14.287155200000001</v>
      </c>
      <c r="N354" s="83">
        <f>J354*(H354*'Externe blootstelling'!$D$23/2)^K354+L354*(TANH(((H354*'Externe blootstelling'!$D$23)/(2*M354))-2)-TANH(-2))/(1-TANH(-2))</f>
        <v>1.4749914070832264</v>
      </c>
      <c r="O354" s="83">
        <f>IF(N354=1,1+(I354-1)*H354*'Externe blootstelling'!$D$23/2,1+(I354-1)*(N354^(H354*'Externe blootstelling'!$D$23/2)-1)/(N354-1))</f>
        <v>2.3185434849494166</v>
      </c>
      <c r="P354" s="67">
        <f>G354*EXP(-H354*'Externe blootstelling'!$D$23/2)*O354</f>
        <v>2.7928831749988475E-2</v>
      </c>
      <c r="Q354" s="68"/>
    </row>
    <row r="355" spans="1:17" x14ac:dyDescent="0.2">
      <c r="A355" s="217"/>
      <c r="B355" s="64" t="s">
        <v>104</v>
      </c>
      <c r="C355" s="66">
        <v>0.90610000000000002</v>
      </c>
      <c r="D355" s="66">
        <f t="shared" si="24"/>
        <v>1.4497599999999999E-13</v>
      </c>
      <c r="E355" s="66">
        <v>1.18E-4</v>
      </c>
      <c r="F355" s="66">
        <f>_xlfn.IFNA(INDEX('hp (pSv cm2)'!$B$2:$B$52,MATCH($C355,'hp (pSv cm2)'!$A$2:$A$52,1))+($C355-INDEX('hp (pSv cm2)'!$A$2:$A$52,MATCH($C355,'hp (pSv cm2)'!$A$2:$A$52,1)))*(INDEX('hp (pSv cm2)'!$B$2:$B$52,MATCH($C355,'hp (pSv cm2)'!$A$2:$A$52,1)+1)-INDEX('hp (pSv cm2)'!$B$2:$B$52,MATCH($C355,'hp (pSv cm2)'!$A$2:$A$52,1)))/(INDEX('hp (pSv cm2)'!$A$2:$A$52,MATCH($C355,'hp (pSv cm2)'!$A$2:$A$52,1)+1)-INDEX('hp (pSv cm2)'!$A$2:$A$52,MATCH($C355,'hp (pSv cm2)'!$A$2:$A$52,1))),$C355*'hp (pSv cm2)'!$B$2/'hp (pSv cm2)'!$A$2)</f>
        <v>4.1331800000000003</v>
      </c>
      <c r="G355" s="67">
        <f t="shared" si="25"/>
        <v>4.8771524000000002E-4</v>
      </c>
      <c r="H355" s="83">
        <f>_xlfn.IFNA(0.997*(INDEX('Mass attenuation coefficients'!$B$2:$B$37,MATCH($C355,'Mass attenuation coefficients'!$A$2:$A$37,1))+($C355-INDEX('Mass attenuation coefficients'!$A$2:$A$37,MATCH($C355,'Mass attenuation coefficients'!$A$2:$A$37,1)))*(INDEX('Mass attenuation coefficients'!$B$2:$B$37,MATCH($C355,'Mass attenuation coefficients'!$A$2:$A$37,1)+1)-INDEX('Mass attenuation coefficients'!$B$2:$B$37,MATCH($C355,'Mass attenuation coefficients'!$A$2:$A$37,1)))/(INDEX('Mass attenuation coefficients'!$A$2:$A$37,MATCH($C355,'Mass attenuation coefficients'!$A$2:$A$37,1)+1)-INDEX('Mass attenuation coefficients'!$A$2:$A$37,MATCH($C355,'Mass attenuation coefficients'!$A$2:$A$37,1)))),0.997*$C355*'Mass attenuation coefficients'!$B$2/'Mass attenuation coefficients'!$A$2)</f>
        <v>7.4219805595000007E-2</v>
      </c>
      <c r="I355" s="83">
        <f>_xlfn.IFNA(INDEX('Shultis Faw'!$C$2:$C$26,MATCH($C355,'Shultis Faw'!$A$2:$A$26,1))+($C355-INDEX('Shultis Faw'!$A$2:$A$26,MATCH($C355,'Shultis Faw'!$A$2:$A$26,1)))*(INDEX('Shultis Faw'!$C$2:$C$26,MATCH($C355,'Shultis Faw'!$A$2:$A$26,1)+1)-INDEX('Shultis Faw'!$C$2:$C$26,MATCH($C355,'Shultis Faw'!$A$2:$A$26,1)))/(INDEX('Shultis Faw'!$A$2:$A$26,MATCH($C355,'Shultis Faw'!$A$2:$A$26,1)+1)-INDEX('Shultis Faw'!$A$2:$A$26,MATCH($C355,'Shultis Faw'!$A$2:$A$26,1))),$C355*'Shultis Faw'!$C$2/'Shultis Faw'!$A$2)</f>
        <v>2.1541755</v>
      </c>
      <c r="J355" s="83">
        <f>_xlfn.IFNA(INDEX('Shultis Faw'!$D$2:$D$26,MATCH($C355,'Shultis Faw'!$A$2:$A$26,1))+($C355-INDEX('Shultis Faw'!$A$2:$A$26,MATCH($C355,'Shultis Faw'!$A$2:$A$26,1)))*(INDEX('Shultis Faw'!$D$2:$D$26,MATCH($C355,'Shultis Faw'!$A$2:$A$26,1)+1)-INDEX('Shultis Faw'!$D$2:$D$26,MATCH($C355,'Shultis Faw'!$A$2:$A$26,1)))/(INDEX('Shultis Faw'!$A$2:$A$26,MATCH($C355,'Shultis Faw'!$A$2:$A$26,1)+1)-INDEX('Shultis Faw'!$A$2:$A$26,MATCH($C355,'Shultis Faw'!$A$2:$A$26,1))),$C355*'Shultis Faw'!$D$2/'Shultis Faw'!$A$2)</f>
        <v>1.4893585</v>
      </c>
      <c r="K355" s="83">
        <f>_xlfn.IFNA(INDEX('Shultis Faw'!$B$2:$B$26,MATCH($C355,'Shultis Faw'!$A$2:$A$26,1))+($C355-INDEX('Shultis Faw'!$A$2:$A$26,MATCH($C355,'Shultis Faw'!$A$2:$A$26,1)))*(INDEX('Shultis Faw'!$B$2:$B$26,MATCH($C355,'Shultis Faw'!$A$2:$A$26,1)+1)-INDEX('Shultis Faw'!$B$2:$B$26,MATCH($C355,'Shultis Faw'!$A$2:$A$26,1)))/(INDEX('Shultis Faw'!$A$2:$A$26,MATCH($C355,'Shultis Faw'!$A$2:$A$26,1)+1)-INDEX('Shultis Faw'!$A$2:$A$26,MATCH($C355,'Shultis Faw'!$A$2:$A$26,1))),$C355*'Shultis Faw'!$B$2/'Shultis Faw'!$A$2)</f>
        <v>-9.6512000000000001E-2</v>
      </c>
      <c r="L355" s="83">
        <f>_xlfn.IFNA(INDEX('Shultis Faw'!$E$2:$E$26,MATCH($C355,'Shultis Faw'!$A$2:$A$26,1))+($C355-INDEX('Shultis Faw'!$A$2:$A$26,MATCH($C355,'Shultis Faw'!$A$2:$A$26,1)))*(INDEX('Shultis Faw'!$E$2:$E$26,MATCH($C355,'Shultis Faw'!$A$2:$A$26,1)+1)-INDEX('Shultis Faw'!$E$2:$E$26,MATCH($C355,'Shultis Faw'!$A$2:$A$26,1)))/(INDEX('Shultis Faw'!$A$2:$A$26,MATCH($C355,'Shultis Faw'!$A$2:$A$26,1)+1)-INDEX('Shultis Faw'!$A$2:$A$26,MATCH($C355,'Shultis Faw'!$A$2:$A$26,1))),$C355*'Shultis Faw'!$E$2/'Shultis Faw'!$A$2)</f>
        <v>4.0570050000000003E-2</v>
      </c>
      <c r="M355" s="83">
        <f>_xlfn.IFNA(INDEX('Shultis Faw'!$F$2:$F$26,MATCH($C355,'Shultis Faw'!$A$2:$A$26,1))+($C355-INDEX('Shultis Faw'!$A$2:$A$26,MATCH($C355,'Shultis Faw'!$A$2:$A$26,1)))*(INDEX('Shultis Faw'!$F$2:$F$26,MATCH($C355,'Shultis Faw'!$A$2:$A$26,1)+1)-INDEX('Shultis Faw'!$F$2:$F$26,MATCH($C355,'Shultis Faw'!$A$2:$A$26,1)))/(INDEX('Shultis Faw'!$A$2:$A$26,MATCH($C355,'Shultis Faw'!$A$2:$A$26,1)+1)-INDEX('Shultis Faw'!$A$2:$A$26,MATCH($C355,'Shultis Faw'!$A$2:$A$26,1))),$C355*'Shultis Faw'!$F$2/'Shultis Faw'!$A$2)</f>
        <v>14.285730000000001</v>
      </c>
      <c r="N355" s="83">
        <f>J355*(H355*'Externe blootstelling'!$D$23/2)^K355+L355*(TANH(((H355*'Externe blootstelling'!$D$23)/(2*M355))-2)-TANH(-2))/(1-TANH(-2))</f>
        <v>1.4741336890526582</v>
      </c>
      <c r="O355" s="83">
        <f>IF(N355=1,1+(I355-1)*H355*'Externe blootstelling'!$D$23/2,1+(I355-1)*(N355^(H355*'Externe blootstelling'!$D$23/2)-1)/(N355-1))</f>
        <v>2.3154700171782925</v>
      </c>
      <c r="P355" s="67">
        <f>G355*EXP(-H355*'Externe blootstelling'!$D$23/2)*O355</f>
        <v>3.7094259683717248E-4</v>
      </c>
      <c r="Q355" s="68"/>
    </row>
    <row r="356" spans="1:17" x14ac:dyDescent="0.2">
      <c r="A356" s="217"/>
      <c r="B356" s="64" t="s">
        <v>104</v>
      </c>
      <c r="C356" s="66">
        <v>0.91924000000000006</v>
      </c>
      <c r="D356" s="66">
        <f t="shared" si="24"/>
        <v>1.470784E-13</v>
      </c>
      <c r="E356" s="66">
        <v>1.2E-4</v>
      </c>
      <c r="F356" s="66">
        <f>_xlfn.IFNA(INDEX('hp (pSv cm2)'!$B$2:$B$52,MATCH($C356,'hp (pSv cm2)'!$A$2:$A$52,1))+($C356-INDEX('hp (pSv cm2)'!$A$2:$A$52,MATCH($C356,'hp (pSv cm2)'!$A$2:$A$52,1)))*(INDEX('hp (pSv cm2)'!$B$2:$B$52,MATCH($C356,'hp (pSv cm2)'!$A$2:$A$52,1)+1)-INDEX('hp (pSv cm2)'!$B$2:$B$52,MATCH($C356,'hp (pSv cm2)'!$A$2:$A$52,1)))/(INDEX('hp (pSv cm2)'!$A$2:$A$52,MATCH($C356,'hp (pSv cm2)'!$A$2:$A$52,1)+1)-INDEX('hp (pSv cm2)'!$A$2:$A$52,MATCH($C356,'hp (pSv cm2)'!$A$2:$A$52,1))),$C356*'hp (pSv cm2)'!$B$2/'hp (pSv cm2)'!$A$2)</f>
        <v>4.1831120000000004</v>
      </c>
      <c r="G356" s="67">
        <f t="shared" si="25"/>
        <v>5.0197344000000004E-4</v>
      </c>
      <c r="H356" s="83">
        <f>_xlfn.IFNA(0.997*(INDEX('Mass attenuation coefficients'!$B$2:$B$37,MATCH($C356,'Mass attenuation coefficients'!$A$2:$A$37,1))+($C356-INDEX('Mass attenuation coefficients'!$A$2:$A$37,MATCH($C356,'Mass attenuation coefficients'!$A$2:$A$37,1)))*(INDEX('Mass attenuation coefficients'!$B$2:$B$37,MATCH($C356,'Mass attenuation coefficients'!$A$2:$A$37,1)+1)-INDEX('Mass attenuation coefficients'!$B$2:$B$37,MATCH($C356,'Mass attenuation coefficients'!$A$2:$A$37,1)))/(INDEX('Mass attenuation coefficients'!$A$2:$A$37,MATCH($C356,'Mass attenuation coefficients'!$A$2:$A$37,1)+1)-INDEX('Mass attenuation coefficients'!$A$2:$A$37,MATCH($C356,'Mass attenuation coefficients'!$A$2:$A$37,1)))),0.997*$C356*'Mass attenuation coefficients'!$B$2/'Mass attenuation coefficients'!$A$2)</f>
        <v>7.3700367597999999E-2</v>
      </c>
      <c r="I356" s="83">
        <f>_xlfn.IFNA(INDEX('Shultis Faw'!$C$2:$C$26,MATCH($C356,'Shultis Faw'!$A$2:$A$26,1))+($C356-INDEX('Shultis Faw'!$A$2:$A$26,MATCH($C356,'Shultis Faw'!$A$2:$A$26,1)))*(INDEX('Shultis Faw'!$C$2:$C$26,MATCH($C356,'Shultis Faw'!$A$2:$A$26,1)+1)-INDEX('Shultis Faw'!$C$2:$C$26,MATCH($C356,'Shultis Faw'!$A$2:$A$26,1)))/(INDEX('Shultis Faw'!$A$2:$A$26,MATCH($C356,'Shultis Faw'!$A$2:$A$26,1)+1)-INDEX('Shultis Faw'!$A$2:$A$26,MATCH($C356,'Shultis Faw'!$A$2:$A$26,1))),$C356*'Shultis Faw'!$C$2/'Shultis Faw'!$A$2)</f>
        <v>2.1470142000000001</v>
      </c>
      <c r="J356" s="83">
        <f>_xlfn.IFNA(INDEX('Shultis Faw'!$D$2:$D$26,MATCH($C356,'Shultis Faw'!$A$2:$A$26,1))+($C356-INDEX('Shultis Faw'!$A$2:$A$26,MATCH($C356,'Shultis Faw'!$A$2:$A$26,1)))*(INDEX('Shultis Faw'!$D$2:$D$26,MATCH($C356,'Shultis Faw'!$A$2:$A$26,1)+1)-INDEX('Shultis Faw'!$D$2:$D$26,MATCH($C356,'Shultis Faw'!$A$2:$A$26,1)))/(INDEX('Shultis Faw'!$A$2:$A$26,MATCH($C356,'Shultis Faw'!$A$2:$A$26,1)+1)-INDEX('Shultis Faw'!$A$2:$A$26,MATCH($C356,'Shultis Faw'!$A$2:$A$26,1))),$C356*'Shultis Faw'!$D$2/'Shultis Faw'!$A$2)</f>
        <v>1.4825914</v>
      </c>
      <c r="K356" s="83">
        <f>_xlfn.IFNA(INDEX('Shultis Faw'!$B$2:$B$26,MATCH($C356,'Shultis Faw'!$A$2:$A$26,1))+($C356-INDEX('Shultis Faw'!$A$2:$A$26,MATCH($C356,'Shultis Faw'!$A$2:$A$26,1)))*(INDEX('Shultis Faw'!$B$2:$B$26,MATCH($C356,'Shultis Faw'!$A$2:$A$26,1)+1)-INDEX('Shultis Faw'!$B$2:$B$26,MATCH($C356,'Shultis Faw'!$A$2:$A$26,1)))/(INDEX('Shultis Faw'!$A$2:$A$26,MATCH($C356,'Shultis Faw'!$A$2:$A$26,1)+1)-INDEX('Shultis Faw'!$A$2:$A$26,MATCH($C356,'Shultis Faw'!$A$2:$A$26,1))),$C356*'Shultis Faw'!$B$2/'Shultis Faw'!$A$2)</f>
        <v>-9.5460799999999998E-2</v>
      </c>
      <c r="L356" s="83">
        <f>_xlfn.IFNA(INDEX('Shultis Faw'!$E$2:$E$26,MATCH($C356,'Shultis Faw'!$A$2:$A$26,1))+($C356-INDEX('Shultis Faw'!$A$2:$A$26,MATCH($C356,'Shultis Faw'!$A$2:$A$26,1)))*(INDEX('Shultis Faw'!$E$2:$E$26,MATCH($C356,'Shultis Faw'!$A$2:$A$26,1)+1)-INDEX('Shultis Faw'!$E$2:$E$26,MATCH($C356,'Shultis Faw'!$A$2:$A$26,1)))/(INDEX('Shultis Faw'!$A$2:$A$26,MATCH($C356,'Shultis Faw'!$A$2:$A$26,1)+1)-INDEX('Shultis Faw'!$A$2:$A$26,MATCH($C356,'Shultis Faw'!$A$2:$A$26,1))),$C356*'Shultis Faw'!$E$2/'Shultis Faw'!$A$2)</f>
        <v>4.0182419999999996E-2</v>
      </c>
      <c r="M356" s="83">
        <f>_xlfn.IFNA(INDEX('Shultis Faw'!$F$2:$F$26,MATCH($C356,'Shultis Faw'!$A$2:$A$26,1))+($C356-INDEX('Shultis Faw'!$A$2:$A$26,MATCH($C356,'Shultis Faw'!$A$2:$A$26,1)))*(INDEX('Shultis Faw'!$F$2:$F$26,MATCH($C356,'Shultis Faw'!$A$2:$A$26,1)+1)-INDEX('Shultis Faw'!$F$2:$F$26,MATCH($C356,'Shultis Faw'!$A$2:$A$26,1)))/(INDEX('Shultis Faw'!$A$2:$A$26,MATCH($C356,'Shultis Faw'!$A$2:$A$26,1)+1)-INDEX('Shultis Faw'!$A$2:$A$26,MATCH($C356,'Shultis Faw'!$A$2:$A$26,1))),$C356*'Shultis Faw'!$F$2/'Shultis Faw'!$A$2)</f>
        <v>14.276532</v>
      </c>
      <c r="N356" s="83">
        <f>J356*(H356*'Externe blootstelling'!$D$23/2)^K356+L356*(TANH(((H356*'Externe blootstelling'!$D$23)/(2*M356))-2)-TANH(-2))/(1-TANH(-2))</f>
        <v>1.4685840656697293</v>
      </c>
      <c r="O356" s="83">
        <f>IF(N356=1,1+(I356-1)*H356*'Externe blootstelling'!$D$23/2,1+(I356-1)*(N356^(H356*'Externe blootstelling'!$D$23/2)-1)/(N356-1))</f>
        <v>2.2957646544371562</v>
      </c>
      <c r="P356" s="67">
        <f>G356*EXP(-H356*'Externe blootstelling'!$D$23/2)*O356</f>
        <v>3.8149878531040983E-4</v>
      </c>
      <c r="Q356" s="68"/>
    </row>
    <row r="357" spans="1:17" x14ac:dyDescent="0.2">
      <c r="A357" s="217"/>
      <c r="B357" s="64" t="s">
        <v>104</v>
      </c>
      <c r="C357" s="66">
        <v>0.92462999999999995</v>
      </c>
      <c r="D357" s="66">
        <f t="shared" si="24"/>
        <v>1.4794079999999998E-13</v>
      </c>
      <c r="E357" s="66">
        <v>6.2E-4</v>
      </c>
      <c r="F357" s="66">
        <f>_xlfn.IFNA(INDEX('hp (pSv cm2)'!$B$2:$B$52,MATCH($C357,'hp (pSv cm2)'!$A$2:$A$52,1))+($C357-INDEX('hp (pSv cm2)'!$A$2:$A$52,MATCH($C357,'hp (pSv cm2)'!$A$2:$A$52,1)))*(INDEX('hp (pSv cm2)'!$B$2:$B$52,MATCH($C357,'hp (pSv cm2)'!$A$2:$A$52,1)+1)-INDEX('hp (pSv cm2)'!$B$2:$B$52,MATCH($C357,'hp (pSv cm2)'!$A$2:$A$52,1)))/(INDEX('hp (pSv cm2)'!$A$2:$A$52,MATCH($C357,'hp (pSv cm2)'!$A$2:$A$52,1)+1)-INDEX('hp (pSv cm2)'!$A$2:$A$52,MATCH($C357,'hp (pSv cm2)'!$A$2:$A$52,1))),$C357*'hp (pSv cm2)'!$B$2/'hp (pSv cm2)'!$A$2)</f>
        <v>4.2035939999999998</v>
      </c>
      <c r="G357" s="67">
        <f t="shared" si="25"/>
        <v>2.6062282799999997E-3</v>
      </c>
      <c r="H357" s="83">
        <f>_xlfn.IFNA(0.997*(INDEX('Mass attenuation coefficients'!$B$2:$B$37,MATCH($C357,'Mass attenuation coefficients'!$A$2:$A$37,1))+($C357-INDEX('Mass attenuation coefficients'!$A$2:$A$37,MATCH($C357,'Mass attenuation coefficients'!$A$2:$A$37,1)))*(INDEX('Mass attenuation coefficients'!$B$2:$B$37,MATCH($C357,'Mass attenuation coefficients'!$A$2:$A$37,1)+1)-INDEX('Mass attenuation coefficients'!$B$2:$B$37,MATCH($C357,'Mass attenuation coefficients'!$A$2:$A$37,1)))/(INDEX('Mass attenuation coefficients'!$A$2:$A$37,MATCH($C357,'Mass attenuation coefficients'!$A$2:$A$37,1)+1)-INDEX('Mass attenuation coefficients'!$A$2:$A$37,MATCH($C357,'Mass attenuation coefficients'!$A$2:$A$37,1)))),0.997*$C357*'Mass attenuation coefficients'!$B$2/'Mass attenuation coefficients'!$A$2)</f>
        <v>7.3487295238500006E-2</v>
      </c>
      <c r="I357" s="83">
        <f>_xlfn.IFNA(INDEX('Shultis Faw'!$C$2:$C$26,MATCH($C357,'Shultis Faw'!$A$2:$A$26,1))+($C357-INDEX('Shultis Faw'!$A$2:$A$26,MATCH($C357,'Shultis Faw'!$A$2:$A$26,1)))*(INDEX('Shultis Faw'!$C$2:$C$26,MATCH($C357,'Shultis Faw'!$A$2:$A$26,1)+1)-INDEX('Shultis Faw'!$C$2:$C$26,MATCH($C357,'Shultis Faw'!$A$2:$A$26,1)))/(INDEX('Shultis Faw'!$A$2:$A$26,MATCH($C357,'Shultis Faw'!$A$2:$A$26,1)+1)-INDEX('Shultis Faw'!$A$2:$A$26,MATCH($C357,'Shultis Faw'!$A$2:$A$26,1))),$C357*'Shultis Faw'!$C$2/'Shultis Faw'!$A$2)</f>
        <v>2.1440766500000001</v>
      </c>
      <c r="J357" s="83">
        <f>_xlfn.IFNA(INDEX('Shultis Faw'!$D$2:$D$26,MATCH($C357,'Shultis Faw'!$A$2:$A$26,1))+($C357-INDEX('Shultis Faw'!$A$2:$A$26,MATCH($C357,'Shultis Faw'!$A$2:$A$26,1)))*(INDEX('Shultis Faw'!$D$2:$D$26,MATCH($C357,'Shultis Faw'!$A$2:$A$26,1)+1)-INDEX('Shultis Faw'!$D$2:$D$26,MATCH($C357,'Shultis Faw'!$A$2:$A$26,1)))/(INDEX('Shultis Faw'!$A$2:$A$26,MATCH($C357,'Shultis Faw'!$A$2:$A$26,1)+1)-INDEX('Shultis Faw'!$A$2:$A$26,MATCH($C357,'Shultis Faw'!$A$2:$A$26,1))),$C357*'Shultis Faw'!$D$2/'Shultis Faw'!$A$2)</f>
        <v>1.4798155500000001</v>
      </c>
      <c r="K357" s="83">
        <f>_xlfn.IFNA(INDEX('Shultis Faw'!$B$2:$B$26,MATCH($C357,'Shultis Faw'!$A$2:$A$26,1))+($C357-INDEX('Shultis Faw'!$A$2:$A$26,MATCH($C357,'Shultis Faw'!$A$2:$A$26,1)))*(INDEX('Shultis Faw'!$B$2:$B$26,MATCH($C357,'Shultis Faw'!$A$2:$A$26,1)+1)-INDEX('Shultis Faw'!$B$2:$B$26,MATCH($C357,'Shultis Faw'!$A$2:$A$26,1)))/(INDEX('Shultis Faw'!$A$2:$A$26,MATCH($C357,'Shultis Faw'!$A$2:$A$26,1)+1)-INDEX('Shultis Faw'!$A$2:$A$26,MATCH($C357,'Shultis Faw'!$A$2:$A$26,1))),$C357*'Shultis Faw'!$B$2/'Shultis Faw'!$A$2)</f>
        <v>-9.5029600000000006E-2</v>
      </c>
      <c r="L357" s="83">
        <f>_xlfn.IFNA(INDEX('Shultis Faw'!$E$2:$E$26,MATCH($C357,'Shultis Faw'!$A$2:$A$26,1))+($C357-INDEX('Shultis Faw'!$A$2:$A$26,MATCH($C357,'Shultis Faw'!$A$2:$A$26,1)))*(INDEX('Shultis Faw'!$E$2:$E$26,MATCH($C357,'Shultis Faw'!$A$2:$A$26,1)+1)-INDEX('Shultis Faw'!$E$2:$E$26,MATCH($C357,'Shultis Faw'!$A$2:$A$26,1)))/(INDEX('Shultis Faw'!$A$2:$A$26,MATCH($C357,'Shultis Faw'!$A$2:$A$26,1)+1)-INDEX('Shultis Faw'!$A$2:$A$26,MATCH($C357,'Shultis Faw'!$A$2:$A$26,1))),$C357*'Shultis Faw'!$E$2/'Shultis Faw'!$A$2)</f>
        <v>4.0023415000000007E-2</v>
      </c>
      <c r="M357" s="83">
        <f>_xlfn.IFNA(INDEX('Shultis Faw'!$F$2:$F$26,MATCH($C357,'Shultis Faw'!$A$2:$A$26,1))+($C357-INDEX('Shultis Faw'!$A$2:$A$26,MATCH($C357,'Shultis Faw'!$A$2:$A$26,1)))*(INDEX('Shultis Faw'!$F$2:$F$26,MATCH($C357,'Shultis Faw'!$A$2:$A$26,1)+1)-INDEX('Shultis Faw'!$F$2:$F$26,MATCH($C357,'Shultis Faw'!$A$2:$A$26,1)))/(INDEX('Shultis Faw'!$A$2:$A$26,MATCH($C357,'Shultis Faw'!$A$2:$A$26,1)+1)-INDEX('Shultis Faw'!$A$2:$A$26,MATCH($C357,'Shultis Faw'!$A$2:$A$26,1))),$C357*'Shultis Faw'!$F$2/'Shultis Faw'!$A$2)</f>
        <v>14.272759000000001</v>
      </c>
      <c r="N357" s="83">
        <f>J357*(H357*'Externe blootstelling'!$D$23/2)^K357+L357*(TANH(((H357*'Externe blootstelling'!$D$23)/(2*M357))-2)-TANH(-2))/(1-TANH(-2))</f>
        <v>1.4663005855842772</v>
      </c>
      <c r="O357" s="83">
        <f>IF(N357=1,1+(I357-1)*H357*'Externe blootstelling'!$D$23/2,1+(I357-1)*(N357^(H357*'Externe blootstelling'!$D$23/2)-1)/(N357-1))</f>
        <v>2.2877464513516976</v>
      </c>
      <c r="P357" s="67">
        <f>G357*EXP(-H357*'Externe blootstelling'!$D$23/2)*O357</f>
        <v>1.9801288033741518E-3</v>
      </c>
      <c r="Q357" s="68"/>
    </row>
    <row r="358" spans="1:17" x14ac:dyDescent="0.2">
      <c r="A358" s="217"/>
      <c r="B358" s="64" t="s">
        <v>104</v>
      </c>
      <c r="C358" s="66">
        <v>0.9284</v>
      </c>
      <c r="D358" s="66">
        <f t="shared" si="24"/>
        <v>1.48544E-13</v>
      </c>
      <c r="E358" s="66">
        <v>4.4999999999999996E-5</v>
      </c>
      <c r="F358" s="66">
        <f>_xlfn.IFNA(INDEX('hp (pSv cm2)'!$B$2:$B$52,MATCH($C358,'hp (pSv cm2)'!$A$2:$A$52,1))+($C358-INDEX('hp (pSv cm2)'!$A$2:$A$52,MATCH($C358,'hp (pSv cm2)'!$A$2:$A$52,1)))*(INDEX('hp (pSv cm2)'!$B$2:$B$52,MATCH($C358,'hp (pSv cm2)'!$A$2:$A$52,1)+1)-INDEX('hp (pSv cm2)'!$B$2:$B$52,MATCH($C358,'hp (pSv cm2)'!$A$2:$A$52,1)))/(INDEX('hp (pSv cm2)'!$A$2:$A$52,MATCH($C358,'hp (pSv cm2)'!$A$2:$A$52,1)+1)-INDEX('hp (pSv cm2)'!$A$2:$A$52,MATCH($C358,'hp (pSv cm2)'!$A$2:$A$52,1))),$C358*'hp (pSv cm2)'!$B$2/'hp (pSv cm2)'!$A$2)</f>
        <v>4.2179200000000003</v>
      </c>
      <c r="G358" s="67">
        <f t="shared" si="25"/>
        <v>1.8980639999999999E-4</v>
      </c>
      <c r="H358" s="83">
        <f>_xlfn.IFNA(0.997*(INDEX('Mass attenuation coefficients'!$B$2:$B$37,MATCH($C358,'Mass attenuation coefficients'!$A$2:$A$37,1))+($C358-INDEX('Mass attenuation coefficients'!$A$2:$A$37,MATCH($C358,'Mass attenuation coefficients'!$A$2:$A$37,1)))*(INDEX('Mass attenuation coefficients'!$B$2:$B$37,MATCH($C358,'Mass attenuation coefficients'!$A$2:$A$37,1)+1)-INDEX('Mass attenuation coefficients'!$B$2:$B$37,MATCH($C358,'Mass attenuation coefficients'!$A$2:$A$37,1)))/(INDEX('Mass attenuation coefficients'!$A$2:$A$37,MATCH($C358,'Mass attenuation coefficients'!$A$2:$A$37,1)+1)-INDEX('Mass attenuation coefficients'!$A$2:$A$37,MATCH($C358,'Mass attenuation coefficients'!$A$2:$A$37,1)))),0.997*$C358*'Mass attenuation coefficients'!$B$2/'Mass attenuation coefficients'!$A$2)</f>
        <v>7.3338263180000002E-2</v>
      </c>
      <c r="I358" s="83">
        <f>_xlfn.IFNA(INDEX('Shultis Faw'!$C$2:$C$26,MATCH($C358,'Shultis Faw'!$A$2:$A$26,1))+($C358-INDEX('Shultis Faw'!$A$2:$A$26,MATCH($C358,'Shultis Faw'!$A$2:$A$26,1)))*(INDEX('Shultis Faw'!$C$2:$C$26,MATCH($C358,'Shultis Faw'!$A$2:$A$26,1)+1)-INDEX('Shultis Faw'!$C$2:$C$26,MATCH($C358,'Shultis Faw'!$A$2:$A$26,1)))/(INDEX('Shultis Faw'!$A$2:$A$26,MATCH($C358,'Shultis Faw'!$A$2:$A$26,1)+1)-INDEX('Shultis Faw'!$A$2:$A$26,MATCH($C358,'Shultis Faw'!$A$2:$A$26,1))),$C358*'Shultis Faw'!$C$2/'Shultis Faw'!$A$2)</f>
        <v>2.1420220000000003</v>
      </c>
      <c r="J358" s="83">
        <f>_xlfn.IFNA(INDEX('Shultis Faw'!$D$2:$D$26,MATCH($C358,'Shultis Faw'!$A$2:$A$26,1))+($C358-INDEX('Shultis Faw'!$A$2:$A$26,MATCH($C358,'Shultis Faw'!$A$2:$A$26,1)))*(INDEX('Shultis Faw'!$D$2:$D$26,MATCH($C358,'Shultis Faw'!$A$2:$A$26,1)+1)-INDEX('Shultis Faw'!$D$2:$D$26,MATCH($C358,'Shultis Faw'!$A$2:$A$26,1)))/(INDEX('Shultis Faw'!$A$2:$A$26,MATCH($C358,'Shultis Faw'!$A$2:$A$26,1)+1)-INDEX('Shultis Faw'!$A$2:$A$26,MATCH($C358,'Shultis Faw'!$A$2:$A$26,1))),$C358*'Shultis Faw'!$D$2/'Shultis Faw'!$A$2)</f>
        <v>1.4778740000000001</v>
      </c>
      <c r="K358" s="83">
        <f>_xlfn.IFNA(INDEX('Shultis Faw'!$B$2:$B$26,MATCH($C358,'Shultis Faw'!$A$2:$A$26,1))+($C358-INDEX('Shultis Faw'!$A$2:$A$26,MATCH($C358,'Shultis Faw'!$A$2:$A$26,1)))*(INDEX('Shultis Faw'!$B$2:$B$26,MATCH($C358,'Shultis Faw'!$A$2:$A$26,1)+1)-INDEX('Shultis Faw'!$B$2:$B$26,MATCH($C358,'Shultis Faw'!$A$2:$A$26,1)))/(INDEX('Shultis Faw'!$A$2:$A$26,MATCH($C358,'Shultis Faw'!$A$2:$A$26,1)+1)-INDEX('Shultis Faw'!$A$2:$A$26,MATCH($C358,'Shultis Faw'!$A$2:$A$26,1))),$C358*'Shultis Faw'!$B$2/'Shultis Faw'!$A$2)</f>
        <v>-9.4727999999999993E-2</v>
      </c>
      <c r="L358" s="83">
        <f>_xlfn.IFNA(INDEX('Shultis Faw'!$E$2:$E$26,MATCH($C358,'Shultis Faw'!$A$2:$A$26,1))+($C358-INDEX('Shultis Faw'!$A$2:$A$26,MATCH($C358,'Shultis Faw'!$A$2:$A$26,1)))*(INDEX('Shultis Faw'!$E$2:$E$26,MATCH($C358,'Shultis Faw'!$A$2:$A$26,1)+1)-INDEX('Shultis Faw'!$E$2:$E$26,MATCH($C358,'Shultis Faw'!$A$2:$A$26,1)))/(INDEX('Shultis Faw'!$A$2:$A$26,MATCH($C358,'Shultis Faw'!$A$2:$A$26,1)+1)-INDEX('Shultis Faw'!$A$2:$A$26,MATCH($C358,'Shultis Faw'!$A$2:$A$26,1))),$C358*'Shultis Faw'!$E$2/'Shultis Faw'!$A$2)</f>
        <v>3.9912200000000002E-2</v>
      </c>
      <c r="M358" s="83">
        <f>_xlfn.IFNA(INDEX('Shultis Faw'!$F$2:$F$26,MATCH($C358,'Shultis Faw'!$A$2:$A$26,1))+($C358-INDEX('Shultis Faw'!$A$2:$A$26,MATCH($C358,'Shultis Faw'!$A$2:$A$26,1)))*(INDEX('Shultis Faw'!$F$2:$F$26,MATCH($C358,'Shultis Faw'!$A$2:$A$26,1)+1)-INDEX('Shultis Faw'!$F$2:$F$26,MATCH($C358,'Shultis Faw'!$A$2:$A$26,1)))/(INDEX('Shultis Faw'!$A$2:$A$26,MATCH($C358,'Shultis Faw'!$A$2:$A$26,1)+1)-INDEX('Shultis Faw'!$A$2:$A$26,MATCH($C358,'Shultis Faw'!$A$2:$A$26,1))),$C358*'Shultis Faw'!$F$2/'Shultis Faw'!$A$2)</f>
        <v>14.27012</v>
      </c>
      <c r="N358" s="83">
        <f>J358*(H358*'Externe blootstelling'!$D$23/2)^K358+L358*(TANH(((H358*'Externe blootstelling'!$D$23)/(2*M358))-2)-TANH(-2))/(1-TANH(-2))</f>
        <v>1.4647009889827758</v>
      </c>
      <c r="O358" s="83">
        <f>IF(N358=1,1+(I358-1)*H358*'Externe blootstelling'!$D$23/2,1+(I358-1)*(N358^(H358*'Externe blootstelling'!$D$23/2)-1)/(N358-1))</f>
        <v>2.2821604770139277</v>
      </c>
      <c r="P358" s="67">
        <f>G358*EXP(-H358*'Externe blootstelling'!$D$23/2)*O358</f>
        <v>1.4417866065643531E-4</v>
      </c>
      <c r="Q358" s="68"/>
    </row>
    <row r="359" spans="1:17" x14ac:dyDescent="0.2">
      <c r="A359" s="217"/>
      <c r="B359" s="64" t="s">
        <v>104</v>
      </c>
      <c r="C359" s="66">
        <v>0.98129999999999995</v>
      </c>
      <c r="D359" s="66">
        <f t="shared" si="24"/>
        <v>1.5700799999999999E-13</v>
      </c>
      <c r="E359" s="66">
        <v>8.3999999999999995E-5</v>
      </c>
      <c r="F359" s="66">
        <f>_xlfn.IFNA(INDEX('hp (pSv cm2)'!$B$2:$B$52,MATCH($C359,'hp (pSv cm2)'!$A$2:$A$52,1))+($C359-INDEX('hp (pSv cm2)'!$A$2:$A$52,MATCH($C359,'hp (pSv cm2)'!$A$2:$A$52,1)))*(INDEX('hp (pSv cm2)'!$B$2:$B$52,MATCH($C359,'hp (pSv cm2)'!$A$2:$A$52,1)+1)-INDEX('hp (pSv cm2)'!$B$2:$B$52,MATCH($C359,'hp (pSv cm2)'!$A$2:$A$52,1)))/(INDEX('hp (pSv cm2)'!$A$2:$A$52,MATCH($C359,'hp (pSv cm2)'!$A$2:$A$52,1)+1)-INDEX('hp (pSv cm2)'!$A$2:$A$52,MATCH($C359,'hp (pSv cm2)'!$A$2:$A$52,1))),$C359*'hp (pSv cm2)'!$B$2/'hp (pSv cm2)'!$A$2)</f>
        <v>4.4189400000000001</v>
      </c>
      <c r="G359" s="67">
        <f t="shared" si="25"/>
        <v>3.7119095999999999E-4</v>
      </c>
      <c r="H359" s="83">
        <f>_xlfn.IFNA(0.997*(INDEX('Mass attenuation coefficients'!$B$2:$B$37,MATCH($C359,'Mass attenuation coefficients'!$A$2:$A$37,1))+($C359-INDEX('Mass attenuation coefficients'!$A$2:$A$37,MATCH($C359,'Mass attenuation coefficients'!$A$2:$A$37,1)))*(INDEX('Mass attenuation coefficients'!$B$2:$B$37,MATCH($C359,'Mass attenuation coefficients'!$A$2:$A$37,1)+1)-INDEX('Mass attenuation coefficients'!$B$2:$B$37,MATCH($C359,'Mass attenuation coefficients'!$A$2:$A$37,1)))/(INDEX('Mass attenuation coefficients'!$A$2:$A$37,MATCH($C359,'Mass attenuation coefficients'!$A$2:$A$37,1)+1)-INDEX('Mass attenuation coefficients'!$A$2:$A$37,MATCH($C359,'Mass attenuation coefficients'!$A$2:$A$37,1)))),0.997*$C359*'Mass attenuation coefficients'!$B$2/'Mass attenuation coefficients'!$A$2)</f>
        <v>7.1247070635000007E-2</v>
      </c>
      <c r="I359" s="83">
        <f>_xlfn.IFNA(INDEX('Shultis Faw'!$C$2:$C$26,MATCH($C359,'Shultis Faw'!$A$2:$A$26,1))+($C359-INDEX('Shultis Faw'!$A$2:$A$26,MATCH($C359,'Shultis Faw'!$A$2:$A$26,1)))*(INDEX('Shultis Faw'!$C$2:$C$26,MATCH($C359,'Shultis Faw'!$A$2:$A$26,1)+1)-INDEX('Shultis Faw'!$C$2:$C$26,MATCH($C359,'Shultis Faw'!$A$2:$A$26,1)))/(INDEX('Shultis Faw'!$A$2:$A$26,MATCH($C359,'Shultis Faw'!$A$2:$A$26,1)+1)-INDEX('Shultis Faw'!$A$2:$A$26,MATCH($C359,'Shultis Faw'!$A$2:$A$26,1))),$C359*'Shultis Faw'!$C$2/'Shultis Faw'!$A$2)</f>
        <v>2.1131915000000001</v>
      </c>
      <c r="J359" s="83">
        <f>_xlfn.IFNA(INDEX('Shultis Faw'!$D$2:$D$26,MATCH($C359,'Shultis Faw'!$A$2:$A$26,1))+($C359-INDEX('Shultis Faw'!$A$2:$A$26,MATCH($C359,'Shultis Faw'!$A$2:$A$26,1)))*(INDEX('Shultis Faw'!$D$2:$D$26,MATCH($C359,'Shultis Faw'!$A$2:$A$26,1)+1)-INDEX('Shultis Faw'!$D$2:$D$26,MATCH($C359,'Shultis Faw'!$A$2:$A$26,1)))/(INDEX('Shultis Faw'!$A$2:$A$26,MATCH($C359,'Shultis Faw'!$A$2:$A$26,1)+1)-INDEX('Shultis Faw'!$A$2:$A$26,MATCH($C359,'Shultis Faw'!$A$2:$A$26,1))),$C359*'Shultis Faw'!$D$2/'Shultis Faw'!$A$2)</f>
        <v>1.4506305000000002</v>
      </c>
      <c r="K359" s="83">
        <f>_xlfn.IFNA(INDEX('Shultis Faw'!$B$2:$B$26,MATCH($C359,'Shultis Faw'!$A$2:$A$26,1))+($C359-INDEX('Shultis Faw'!$A$2:$A$26,MATCH($C359,'Shultis Faw'!$A$2:$A$26,1)))*(INDEX('Shultis Faw'!$B$2:$B$26,MATCH($C359,'Shultis Faw'!$A$2:$A$26,1)+1)-INDEX('Shultis Faw'!$B$2:$B$26,MATCH($C359,'Shultis Faw'!$A$2:$A$26,1)))/(INDEX('Shultis Faw'!$A$2:$A$26,MATCH($C359,'Shultis Faw'!$A$2:$A$26,1)+1)-INDEX('Shultis Faw'!$A$2:$A$26,MATCH($C359,'Shultis Faw'!$A$2:$A$26,1))),$C359*'Shultis Faw'!$B$2/'Shultis Faw'!$A$2)</f>
        <v>-9.0495999999999993E-2</v>
      </c>
      <c r="L359" s="83">
        <f>_xlfn.IFNA(INDEX('Shultis Faw'!$E$2:$E$26,MATCH($C359,'Shultis Faw'!$A$2:$A$26,1))+($C359-INDEX('Shultis Faw'!$A$2:$A$26,MATCH($C359,'Shultis Faw'!$A$2:$A$26,1)))*(INDEX('Shultis Faw'!$E$2:$E$26,MATCH($C359,'Shultis Faw'!$A$2:$A$26,1)+1)-INDEX('Shultis Faw'!$E$2:$E$26,MATCH($C359,'Shultis Faw'!$A$2:$A$26,1)))/(INDEX('Shultis Faw'!$A$2:$A$26,MATCH($C359,'Shultis Faw'!$A$2:$A$26,1)+1)-INDEX('Shultis Faw'!$A$2:$A$26,MATCH($C359,'Shultis Faw'!$A$2:$A$26,1))),$C359*'Shultis Faw'!$E$2/'Shultis Faw'!$A$2)</f>
        <v>3.8351650000000001E-2</v>
      </c>
      <c r="M359" s="83">
        <f>_xlfn.IFNA(INDEX('Shultis Faw'!$F$2:$F$26,MATCH($C359,'Shultis Faw'!$A$2:$A$26,1))+($C359-INDEX('Shultis Faw'!$A$2:$A$26,MATCH($C359,'Shultis Faw'!$A$2:$A$26,1)))*(INDEX('Shultis Faw'!$F$2:$F$26,MATCH($C359,'Shultis Faw'!$A$2:$A$26,1)+1)-INDEX('Shultis Faw'!$F$2:$F$26,MATCH($C359,'Shultis Faw'!$A$2:$A$26,1)))/(INDEX('Shultis Faw'!$A$2:$A$26,MATCH($C359,'Shultis Faw'!$A$2:$A$26,1)+1)-INDEX('Shultis Faw'!$A$2:$A$26,MATCH($C359,'Shultis Faw'!$A$2:$A$26,1))),$C359*'Shultis Faw'!$F$2/'Shultis Faw'!$A$2)</f>
        <v>14.233090000000001</v>
      </c>
      <c r="N359" s="83">
        <f>J359*(H359*'Externe blootstelling'!$D$23/2)^K359+L359*(TANH(((H359*'Externe blootstelling'!$D$23)/(2*M359))-2)-TANH(-2))/(1-TANH(-2))</f>
        <v>1.442044994513183</v>
      </c>
      <c r="O359" s="83">
        <f>IF(N359=1,1+(I359-1)*H359*'Externe blootstelling'!$D$23/2,1+(I359-1)*(N359^(H359*'Externe blootstelling'!$D$23/2)-1)/(N359-1))</f>
        <v>2.2056836855352442</v>
      </c>
      <c r="P359" s="67">
        <f>G359*EXP(-H359*'Externe blootstelling'!$D$23/2)*O359</f>
        <v>2.8119492438935821E-4</v>
      </c>
      <c r="Q359" s="68"/>
    </row>
    <row r="360" spans="1:17" x14ac:dyDescent="0.2">
      <c r="A360" s="217"/>
      <c r="B360" s="64" t="s">
        <v>104</v>
      </c>
      <c r="C360" s="66">
        <v>0.98450000000000004</v>
      </c>
      <c r="D360" s="66">
        <f t="shared" si="24"/>
        <v>1.5751999999999999E-13</v>
      </c>
      <c r="E360" s="66">
        <v>9.4000000000000008E-5</v>
      </c>
      <c r="F360" s="66">
        <f>_xlfn.IFNA(INDEX('hp (pSv cm2)'!$B$2:$B$52,MATCH($C360,'hp (pSv cm2)'!$A$2:$A$52,1))+($C360-INDEX('hp (pSv cm2)'!$A$2:$A$52,MATCH($C360,'hp (pSv cm2)'!$A$2:$A$52,1)))*(INDEX('hp (pSv cm2)'!$B$2:$B$52,MATCH($C360,'hp (pSv cm2)'!$A$2:$A$52,1)+1)-INDEX('hp (pSv cm2)'!$B$2:$B$52,MATCH($C360,'hp (pSv cm2)'!$A$2:$A$52,1)))/(INDEX('hp (pSv cm2)'!$A$2:$A$52,MATCH($C360,'hp (pSv cm2)'!$A$2:$A$52,1)+1)-INDEX('hp (pSv cm2)'!$A$2:$A$52,MATCH($C360,'hp (pSv cm2)'!$A$2:$A$52,1))),$C360*'hp (pSv cm2)'!$B$2/'hp (pSv cm2)'!$A$2)</f>
        <v>4.4311000000000007</v>
      </c>
      <c r="G360" s="67">
        <f t="shared" si="25"/>
        <v>4.1652340000000011E-4</v>
      </c>
      <c r="H360" s="83">
        <f>_xlfn.IFNA(0.997*(INDEX('Mass attenuation coefficients'!$B$2:$B$37,MATCH($C360,'Mass attenuation coefficients'!$A$2:$A$37,1))+($C360-INDEX('Mass attenuation coefficients'!$A$2:$A$37,MATCH($C360,'Mass attenuation coefficients'!$A$2:$A$37,1)))*(INDEX('Mass attenuation coefficients'!$B$2:$B$37,MATCH($C360,'Mass attenuation coefficients'!$A$2:$A$37,1)+1)-INDEX('Mass attenuation coefficients'!$B$2:$B$37,MATCH($C360,'Mass attenuation coefficients'!$A$2:$A$37,1)))/(INDEX('Mass attenuation coefficients'!$A$2:$A$37,MATCH($C360,'Mass attenuation coefficients'!$A$2:$A$37,1)+1)-INDEX('Mass attenuation coefficients'!$A$2:$A$37,MATCH($C360,'Mass attenuation coefficients'!$A$2:$A$37,1)))),0.997*$C360*'Mass attenuation coefficients'!$B$2/'Mass attenuation coefficients'!$A$2)</f>
        <v>7.1120571275000002E-2</v>
      </c>
      <c r="I360" s="83">
        <f>_xlfn.IFNA(INDEX('Shultis Faw'!$C$2:$C$26,MATCH($C360,'Shultis Faw'!$A$2:$A$26,1))+($C360-INDEX('Shultis Faw'!$A$2:$A$26,MATCH($C360,'Shultis Faw'!$A$2:$A$26,1)))*(INDEX('Shultis Faw'!$C$2:$C$26,MATCH($C360,'Shultis Faw'!$A$2:$A$26,1)+1)-INDEX('Shultis Faw'!$C$2:$C$26,MATCH($C360,'Shultis Faw'!$A$2:$A$26,1)))/(INDEX('Shultis Faw'!$A$2:$A$26,MATCH($C360,'Shultis Faw'!$A$2:$A$26,1)+1)-INDEX('Shultis Faw'!$A$2:$A$26,MATCH($C360,'Shultis Faw'!$A$2:$A$26,1))),$C360*'Shultis Faw'!$C$2/'Shultis Faw'!$A$2)</f>
        <v>2.1114475000000001</v>
      </c>
      <c r="J360" s="83">
        <f>_xlfn.IFNA(INDEX('Shultis Faw'!$D$2:$D$26,MATCH($C360,'Shultis Faw'!$A$2:$A$26,1))+($C360-INDEX('Shultis Faw'!$A$2:$A$26,MATCH($C360,'Shultis Faw'!$A$2:$A$26,1)))*(INDEX('Shultis Faw'!$D$2:$D$26,MATCH($C360,'Shultis Faw'!$A$2:$A$26,1)+1)-INDEX('Shultis Faw'!$D$2:$D$26,MATCH($C360,'Shultis Faw'!$A$2:$A$26,1)))/(INDEX('Shultis Faw'!$A$2:$A$26,MATCH($C360,'Shultis Faw'!$A$2:$A$26,1)+1)-INDEX('Shultis Faw'!$A$2:$A$26,MATCH($C360,'Shultis Faw'!$A$2:$A$26,1))),$C360*'Shultis Faw'!$D$2/'Shultis Faw'!$A$2)</f>
        <v>1.4489825000000001</v>
      </c>
      <c r="K360" s="83">
        <f>_xlfn.IFNA(INDEX('Shultis Faw'!$B$2:$B$26,MATCH($C360,'Shultis Faw'!$A$2:$A$26,1))+($C360-INDEX('Shultis Faw'!$A$2:$A$26,MATCH($C360,'Shultis Faw'!$A$2:$A$26,1)))*(INDEX('Shultis Faw'!$B$2:$B$26,MATCH($C360,'Shultis Faw'!$A$2:$A$26,1)+1)-INDEX('Shultis Faw'!$B$2:$B$26,MATCH($C360,'Shultis Faw'!$A$2:$A$26,1)))/(INDEX('Shultis Faw'!$A$2:$A$26,MATCH($C360,'Shultis Faw'!$A$2:$A$26,1)+1)-INDEX('Shultis Faw'!$A$2:$A$26,MATCH($C360,'Shultis Faw'!$A$2:$A$26,1))),$C360*'Shultis Faw'!$B$2/'Shultis Faw'!$A$2)</f>
        <v>-9.0239999999999987E-2</v>
      </c>
      <c r="L360" s="83">
        <f>_xlfn.IFNA(INDEX('Shultis Faw'!$E$2:$E$26,MATCH($C360,'Shultis Faw'!$A$2:$A$26,1))+($C360-INDEX('Shultis Faw'!$A$2:$A$26,MATCH($C360,'Shultis Faw'!$A$2:$A$26,1)))*(INDEX('Shultis Faw'!$E$2:$E$26,MATCH($C360,'Shultis Faw'!$A$2:$A$26,1)+1)-INDEX('Shultis Faw'!$E$2:$E$26,MATCH($C360,'Shultis Faw'!$A$2:$A$26,1)))/(INDEX('Shultis Faw'!$A$2:$A$26,MATCH($C360,'Shultis Faw'!$A$2:$A$26,1)+1)-INDEX('Shultis Faw'!$A$2:$A$26,MATCH($C360,'Shultis Faw'!$A$2:$A$26,1))),$C360*'Shultis Faw'!$E$2/'Shultis Faw'!$A$2)</f>
        <v>3.825725E-2</v>
      </c>
      <c r="M360" s="83">
        <f>_xlfn.IFNA(INDEX('Shultis Faw'!$F$2:$F$26,MATCH($C360,'Shultis Faw'!$A$2:$A$26,1))+($C360-INDEX('Shultis Faw'!$A$2:$A$26,MATCH($C360,'Shultis Faw'!$A$2:$A$26,1)))*(INDEX('Shultis Faw'!$F$2:$F$26,MATCH($C360,'Shultis Faw'!$A$2:$A$26,1)+1)-INDEX('Shultis Faw'!$F$2:$F$26,MATCH($C360,'Shultis Faw'!$A$2:$A$26,1)))/(INDEX('Shultis Faw'!$A$2:$A$26,MATCH($C360,'Shultis Faw'!$A$2:$A$26,1)+1)-INDEX('Shultis Faw'!$A$2:$A$26,MATCH($C360,'Shultis Faw'!$A$2:$A$26,1))),$C360*'Shultis Faw'!$F$2/'Shultis Faw'!$A$2)</f>
        <v>14.23085</v>
      </c>
      <c r="N360" s="83">
        <f>J360*(H360*'Externe blootstelling'!$D$23/2)^K360+L360*(TANH(((H360*'Externe blootstelling'!$D$23)/(2*M360))-2)-TANH(-2))/(1-TANH(-2))</f>
        <v>1.440661901751835</v>
      </c>
      <c r="O360" s="83">
        <f>IF(N360=1,1+(I360-1)*H360*'Externe blootstelling'!$D$23/2,1+(I360-1)*(N360^(H360*'Externe blootstelling'!$D$23/2)-1)/(N360-1))</f>
        <v>2.201169740269675</v>
      </c>
      <c r="P360" s="67">
        <f>G360*EXP(-H360*'Externe blootstelling'!$D$23/2)*O360</f>
        <v>3.1548874018887737E-4</v>
      </c>
      <c r="Q360" s="68"/>
    </row>
    <row r="361" spans="1:17" x14ac:dyDescent="0.2">
      <c r="A361" s="217"/>
      <c r="B361" s="64" t="s">
        <v>104</v>
      </c>
      <c r="C361" s="66">
        <v>0.99624999999999997</v>
      </c>
      <c r="D361" s="66">
        <f t="shared" si="24"/>
        <v>1.5939999999999998E-13</v>
      </c>
      <c r="E361" s="66">
        <v>0.105</v>
      </c>
      <c r="F361" s="66">
        <f>_xlfn.IFNA(INDEX('hp (pSv cm2)'!$B$2:$B$52,MATCH($C361,'hp (pSv cm2)'!$A$2:$A$52,1))+($C361-INDEX('hp (pSv cm2)'!$A$2:$A$52,MATCH($C361,'hp (pSv cm2)'!$A$2:$A$52,1)))*(INDEX('hp (pSv cm2)'!$B$2:$B$52,MATCH($C361,'hp (pSv cm2)'!$A$2:$A$52,1)+1)-INDEX('hp (pSv cm2)'!$B$2:$B$52,MATCH($C361,'hp (pSv cm2)'!$A$2:$A$52,1)))/(INDEX('hp (pSv cm2)'!$A$2:$A$52,MATCH($C361,'hp (pSv cm2)'!$A$2:$A$52,1)+1)-INDEX('hp (pSv cm2)'!$A$2:$A$52,MATCH($C361,'hp (pSv cm2)'!$A$2:$A$52,1))),$C361*'hp (pSv cm2)'!$B$2/'hp (pSv cm2)'!$A$2)</f>
        <v>4.4757499999999997</v>
      </c>
      <c r="G361" s="67">
        <f t="shared" si="25"/>
        <v>0.46995374999999995</v>
      </c>
      <c r="H361" s="83">
        <f>_xlfn.IFNA(0.997*(INDEX('Mass attenuation coefficients'!$B$2:$B$37,MATCH($C361,'Mass attenuation coefficients'!$A$2:$A$37,1))+($C361-INDEX('Mass attenuation coefficients'!$A$2:$A$37,MATCH($C361,'Mass attenuation coefficients'!$A$2:$A$37,1)))*(INDEX('Mass attenuation coefficients'!$B$2:$B$37,MATCH($C361,'Mass attenuation coefficients'!$A$2:$A$37,1)+1)-INDEX('Mass attenuation coefficients'!$B$2:$B$37,MATCH($C361,'Mass attenuation coefficients'!$A$2:$A$37,1)))/(INDEX('Mass attenuation coefficients'!$A$2:$A$37,MATCH($C361,'Mass attenuation coefficients'!$A$2:$A$37,1)+1)-INDEX('Mass attenuation coefficients'!$A$2:$A$37,MATCH($C361,'Mass attenuation coefficients'!$A$2:$A$37,1)))),0.997*$C361*'Mass attenuation coefficients'!$B$2/'Mass attenuation coefficients'!$A$2)</f>
        <v>7.0656081437500004E-2</v>
      </c>
      <c r="I361" s="83">
        <f>_xlfn.IFNA(INDEX('Shultis Faw'!$C$2:$C$26,MATCH($C361,'Shultis Faw'!$A$2:$A$26,1))+($C361-INDEX('Shultis Faw'!$A$2:$A$26,MATCH($C361,'Shultis Faw'!$A$2:$A$26,1)))*(INDEX('Shultis Faw'!$C$2:$C$26,MATCH($C361,'Shultis Faw'!$A$2:$A$26,1)+1)-INDEX('Shultis Faw'!$C$2:$C$26,MATCH($C361,'Shultis Faw'!$A$2:$A$26,1)))/(INDEX('Shultis Faw'!$A$2:$A$26,MATCH($C361,'Shultis Faw'!$A$2:$A$26,1)+1)-INDEX('Shultis Faw'!$A$2:$A$26,MATCH($C361,'Shultis Faw'!$A$2:$A$26,1))),$C361*'Shultis Faw'!$C$2/'Shultis Faw'!$A$2)</f>
        <v>2.1050437500000001</v>
      </c>
      <c r="J361" s="83">
        <f>_xlfn.IFNA(INDEX('Shultis Faw'!$D$2:$D$26,MATCH($C361,'Shultis Faw'!$A$2:$A$26,1))+($C361-INDEX('Shultis Faw'!$A$2:$A$26,MATCH($C361,'Shultis Faw'!$A$2:$A$26,1)))*(INDEX('Shultis Faw'!$D$2:$D$26,MATCH($C361,'Shultis Faw'!$A$2:$A$26,1)+1)-INDEX('Shultis Faw'!$D$2:$D$26,MATCH($C361,'Shultis Faw'!$A$2:$A$26,1)))/(INDEX('Shultis Faw'!$A$2:$A$26,MATCH($C361,'Shultis Faw'!$A$2:$A$26,1)+1)-INDEX('Shultis Faw'!$A$2:$A$26,MATCH($C361,'Shultis Faw'!$A$2:$A$26,1))),$C361*'Shultis Faw'!$D$2/'Shultis Faw'!$A$2)</f>
        <v>1.44293125</v>
      </c>
      <c r="K361" s="83">
        <f>_xlfn.IFNA(INDEX('Shultis Faw'!$B$2:$B$26,MATCH($C361,'Shultis Faw'!$A$2:$A$26,1))+($C361-INDEX('Shultis Faw'!$A$2:$A$26,MATCH($C361,'Shultis Faw'!$A$2:$A$26,1)))*(INDEX('Shultis Faw'!$B$2:$B$26,MATCH($C361,'Shultis Faw'!$A$2:$A$26,1)+1)-INDEX('Shultis Faw'!$B$2:$B$26,MATCH($C361,'Shultis Faw'!$A$2:$A$26,1)))/(INDEX('Shultis Faw'!$A$2:$A$26,MATCH($C361,'Shultis Faw'!$A$2:$A$26,1)+1)-INDEX('Shultis Faw'!$A$2:$A$26,MATCH($C361,'Shultis Faw'!$A$2:$A$26,1))),$C361*'Shultis Faw'!$B$2/'Shultis Faw'!$A$2)</f>
        <v>-8.929999999999999E-2</v>
      </c>
      <c r="L361" s="83">
        <f>_xlfn.IFNA(INDEX('Shultis Faw'!$E$2:$E$26,MATCH($C361,'Shultis Faw'!$A$2:$A$26,1))+($C361-INDEX('Shultis Faw'!$A$2:$A$26,MATCH($C361,'Shultis Faw'!$A$2:$A$26,1)))*(INDEX('Shultis Faw'!$E$2:$E$26,MATCH($C361,'Shultis Faw'!$A$2:$A$26,1)+1)-INDEX('Shultis Faw'!$E$2:$E$26,MATCH($C361,'Shultis Faw'!$A$2:$A$26,1)))/(INDEX('Shultis Faw'!$A$2:$A$26,MATCH($C361,'Shultis Faw'!$A$2:$A$26,1)+1)-INDEX('Shultis Faw'!$A$2:$A$26,MATCH($C361,'Shultis Faw'!$A$2:$A$26,1))),$C361*'Shultis Faw'!$E$2/'Shultis Faw'!$A$2)</f>
        <v>3.7910625000000003E-2</v>
      </c>
      <c r="M361" s="83">
        <f>_xlfn.IFNA(INDEX('Shultis Faw'!$F$2:$F$26,MATCH($C361,'Shultis Faw'!$A$2:$A$26,1))+($C361-INDEX('Shultis Faw'!$A$2:$A$26,MATCH($C361,'Shultis Faw'!$A$2:$A$26,1)))*(INDEX('Shultis Faw'!$F$2:$F$26,MATCH($C361,'Shultis Faw'!$A$2:$A$26,1)+1)-INDEX('Shultis Faw'!$F$2:$F$26,MATCH($C361,'Shultis Faw'!$A$2:$A$26,1)))/(INDEX('Shultis Faw'!$A$2:$A$26,MATCH($C361,'Shultis Faw'!$A$2:$A$26,1)+1)-INDEX('Shultis Faw'!$A$2:$A$26,MATCH($C361,'Shultis Faw'!$A$2:$A$26,1))),$C361*'Shultis Faw'!$F$2/'Shultis Faw'!$A$2)</f>
        <v>14.222625000000001</v>
      </c>
      <c r="N361" s="83">
        <f>J361*(H361*'Externe blootstelling'!$D$23/2)^K361+L361*(TANH(((H361*'Externe blootstelling'!$D$23)/(2*M361))-2)-TANH(-2))/(1-TANH(-2))</f>
        <v>1.4355710552358882</v>
      </c>
      <c r="O361" s="83">
        <f>IF(N361=1,1+(I361-1)*H361*'Externe blootstelling'!$D$23/2,1+(I361-1)*(N361^(H361*'Externe blootstelling'!$D$23/2)-1)/(N361-1))</f>
        <v>2.1847029595028706</v>
      </c>
      <c r="P361" s="67">
        <f>G361*EXP(-H361*'Externe blootstelling'!$D$23/2)*O361</f>
        <v>0.35576590276209852</v>
      </c>
      <c r="Q361" s="68"/>
    </row>
    <row r="362" spans="1:17" x14ac:dyDescent="0.2">
      <c r="A362" s="217"/>
      <c r="B362" s="64" t="s">
        <v>104</v>
      </c>
      <c r="C362" s="66">
        <v>1.004718</v>
      </c>
      <c r="D362" s="66">
        <f t="shared" si="24"/>
        <v>1.6075488E-13</v>
      </c>
      <c r="E362" s="66">
        <v>0.17859999999999998</v>
      </c>
      <c r="F362" s="66">
        <f>_xlfn.IFNA(INDEX('hp (pSv cm2)'!$B$2:$B$52,MATCH($C362,'hp (pSv cm2)'!$A$2:$A$52,1))+($C362-INDEX('hp (pSv cm2)'!$A$2:$A$52,MATCH($C362,'hp (pSv cm2)'!$A$2:$A$52,1)))*(INDEX('hp (pSv cm2)'!$B$2:$B$52,MATCH($C362,'hp (pSv cm2)'!$A$2:$A$52,1)+1)-INDEX('hp (pSv cm2)'!$B$2:$B$52,MATCH($C362,'hp (pSv cm2)'!$A$2:$A$52,1)))/(INDEX('hp (pSv cm2)'!$A$2:$A$52,MATCH($C362,'hp (pSv cm2)'!$A$2:$A$52,1)+1)-INDEX('hp (pSv cm2)'!$A$2:$A$52,MATCH($C362,'hp (pSv cm2)'!$A$2:$A$52,1))),$C362*'hp (pSv cm2)'!$B$2/'hp (pSv cm2)'!$A$2)</f>
        <v>4.50538068</v>
      </c>
      <c r="G362" s="67">
        <f t="shared" si="25"/>
        <v>0.80466098944799991</v>
      </c>
      <c r="H362" s="83">
        <f>_xlfn.IFNA(0.997*(INDEX('Mass attenuation coefficients'!$B$2:$B$37,MATCH($C362,'Mass attenuation coefficients'!$A$2:$A$37,1))+($C362-INDEX('Mass attenuation coefficients'!$A$2:$A$37,MATCH($C362,'Mass attenuation coefficients'!$A$2:$A$37,1)))*(INDEX('Mass attenuation coefficients'!$B$2:$B$37,MATCH($C362,'Mass attenuation coefficients'!$A$2:$A$37,1)+1)-INDEX('Mass attenuation coefficients'!$B$2:$B$37,MATCH($C362,'Mass attenuation coefficients'!$A$2:$A$37,1)))/(INDEX('Mass attenuation coefficients'!$A$2:$A$37,MATCH($C362,'Mass attenuation coefficients'!$A$2:$A$37,1)+1)-INDEX('Mass attenuation coefficients'!$A$2:$A$37,MATCH($C362,'Mass attenuation coefficients'!$A$2:$A$37,1)))),0.997*$C362*'Mass attenuation coefficients'!$B$2/'Mass attenuation coefficients'!$A$2)</f>
        <v>7.036691277384001E-2</v>
      </c>
      <c r="I362" s="83">
        <f>_xlfn.IFNA(INDEX('Shultis Faw'!$C$2:$C$26,MATCH($C362,'Shultis Faw'!$A$2:$A$26,1))+($C362-INDEX('Shultis Faw'!$A$2:$A$26,MATCH($C362,'Shultis Faw'!$A$2:$A$26,1)))*(INDEX('Shultis Faw'!$C$2:$C$26,MATCH($C362,'Shultis Faw'!$A$2:$A$26,1)+1)-INDEX('Shultis Faw'!$C$2:$C$26,MATCH($C362,'Shultis Faw'!$A$2:$A$26,1)))/(INDEX('Shultis Faw'!$A$2:$A$26,MATCH($C362,'Shultis Faw'!$A$2:$A$26,1)+1)-INDEX('Shultis Faw'!$A$2:$A$26,MATCH($C362,'Shultis Faw'!$A$2:$A$26,1))),$C362*'Shultis Faw'!$C$2/'Shultis Faw'!$A$2)</f>
        <v>2.1014524960000003</v>
      </c>
      <c r="J362" s="83">
        <f>_xlfn.IFNA(INDEX('Shultis Faw'!$D$2:$D$26,MATCH($C362,'Shultis Faw'!$A$2:$A$26,1))+($C362-INDEX('Shultis Faw'!$A$2:$A$26,MATCH($C362,'Shultis Faw'!$A$2:$A$26,1)))*(INDEX('Shultis Faw'!$D$2:$D$26,MATCH($C362,'Shultis Faw'!$A$2:$A$26,1)+1)-INDEX('Shultis Faw'!$D$2:$D$26,MATCH($C362,'Shultis Faw'!$A$2:$A$26,1)))/(INDEX('Shultis Faw'!$A$2:$A$26,MATCH($C362,'Shultis Faw'!$A$2:$A$26,1)+1)-INDEX('Shultis Faw'!$A$2:$A$26,MATCH($C362,'Shultis Faw'!$A$2:$A$26,1))),$C362*'Shultis Faw'!$D$2/'Shultis Faw'!$A$2)</f>
        <v>1.4393770080000001</v>
      </c>
      <c r="K362" s="83">
        <f>_xlfn.IFNA(INDEX('Shultis Faw'!$B$2:$B$26,MATCH($C362,'Shultis Faw'!$A$2:$A$26,1))+($C362-INDEX('Shultis Faw'!$A$2:$A$26,MATCH($C362,'Shultis Faw'!$A$2:$A$26,1)))*(INDEX('Shultis Faw'!$B$2:$B$26,MATCH($C362,'Shultis Faw'!$A$2:$A$26,1)+1)-INDEX('Shultis Faw'!$B$2:$B$26,MATCH($C362,'Shultis Faw'!$A$2:$A$26,1)))/(INDEX('Shultis Faw'!$A$2:$A$26,MATCH($C362,'Shultis Faw'!$A$2:$A$26,1)+1)-INDEX('Shultis Faw'!$A$2:$A$26,MATCH($C362,'Shultis Faw'!$A$2:$A$26,1))),$C362*'Shultis Faw'!$B$2/'Shultis Faw'!$A$2)</f>
        <v>-8.8707483999999989E-2</v>
      </c>
      <c r="L362" s="83">
        <f>_xlfn.IFNA(INDEX('Shultis Faw'!$E$2:$E$26,MATCH($C362,'Shultis Faw'!$A$2:$A$26,1))+($C362-INDEX('Shultis Faw'!$A$2:$A$26,MATCH($C362,'Shultis Faw'!$A$2:$A$26,1)))*(INDEX('Shultis Faw'!$E$2:$E$26,MATCH($C362,'Shultis Faw'!$A$2:$A$26,1)+1)-INDEX('Shultis Faw'!$E$2:$E$26,MATCH($C362,'Shultis Faw'!$A$2:$A$26,1)))/(INDEX('Shultis Faw'!$A$2:$A$26,MATCH($C362,'Shultis Faw'!$A$2:$A$26,1)+1)-INDEX('Shultis Faw'!$A$2:$A$26,MATCH($C362,'Shultis Faw'!$A$2:$A$26,1))),$C362*'Shultis Faw'!$E$2/'Shultis Faw'!$A$2)</f>
        <v>3.7675444799999999E-2</v>
      </c>
      <c r="M362" s="83">
        <f>_xlfn.IFNA(INDEX('Shultis Faw'!$F$2:$F$26,MATCH($C362,'Shultis Faw'!$A$2:$A$26,1))+($C362-INDEX('Shultis Faw'!$A$2:$A$26,MATCH($C362,'Shultis Faw'!$A$2:$A$26,1)))*(INDEX('Shultis Faw'!$F$2:$F$26,MATCH($C362,'Shultis Faw'!$A$2:$A$26,1)+1)-INDEX('Shultis Faw'!$F$2:$F$26,MATCH($C362,'Shultis Faw'!$A$2:$A$26,1)))/(INDEX('Shultis Faw'!$A$2:$A$26,MATCH($C362,'Shultis Faw'!$A$2:$A$26,1)+1)-INDEX('Shultis Faw'!$A$2:$A$26,MATCH($C362,'Shultis Faw'!$A$2:$A$26,1))),$C362*'Shultis Faw'!$F$2/'Shultis Faw'!$A$2)</f>
        <v>14.222830800000001</v>
      </c>
      <c r="N362" s="83">
        <f>J362*(H362*'Externe blootstelling'!$D$23/2)^K362+L362*(TANH(((H362*'Externe blootstelling'!$D$23)/(2*M362))-2)-TANH(-2))/(1-TANH(-2))</f>
        <v>1.4326044017994346</v>
      </c>
      <c r="O362" s="83">
        <f>IF(N362=1,1+(I362-1)*H362*'Externe blootstelling'!$D$23/2,1+(I362-1)*(N362^(H362*'Externe blootstelling'!$D$23/2)-1)/(N362-1))</f>
        <v>2.1749638951779335</v>
      </c>
      <c r="P362" s="67">
        <f>G362*EXP(-H362*'Externe blootstelling'!$D$23/2)*O362</f>
        <v>0.60906770188655479</v>
      </c>
      <c r="Q362" s="68"/>
    </row>
    <row r="363" spans="1:17" x14ac:dyDescent="0.2">
      <c r="A363" s="217"/>
      <c r="B363" s="64" t="s">
        <v>104</v>
      </c>
      <c r="C363" s="66">
        <v>1.0127999999999999</v>
      </c>
      <c r="D363" s="66">
        <f t="shared" si="24"/>
        <v>1.6204799999999998E-13</v>
      </c>
      <c r="E363" s="66">
        <v>3.0000000000000001E-5</v>
      </c>
      <c r="F363" s="66">
        <f>_xlfn.IFNA(INDEX('hp (pSv cm2)'!$B$2:$B$52,MATCH($C363,'hp (pSv cm2)'!$A$2:$A$52,1))+($C363-INDEX('hp (pSv cm2)'!$A$2:$A$52,MATCH($C363,'hp (pSv cm2)'!$A$2:$A$52,1)))*(INDEX('hp (pSv cm2)'!$B$2:$B$52,MATCH($C363,'hp (pSv cm2)'!$A$2:$A$52,1)+1)-INDEX('hp (pSv cm2)'!$B$2:$B$52,MATCH($C363,'hp (pSv cm2)'!$A$2:$A$52,1)))/(INDEX('hp (pSv cm2)'!$A$2:$A$52,MATCH($C363,'hp (pSv cm2)'!$A$2:$A$52,1)+1)-INDEX('hp (pSv cm2)'!$A$2:$A$52,MATCH($C363,'hp (pSv cm2)'!$A$2:$A$52,1))),$C363*'hp (pSv cm2)'!$B$2/'hp (pSv cm2)'!$A$2)</f>
        <v>4.5317280000000002</v>
      </c>
      <c r="G363" s="67">
        <f t="shared" si="25"/>
        <v>1.3595184000000002E-4</v>
      </c>
      <c r="H363" s="83">
        <f>_xlfn.IFNA(0.997*(INDEX('Mass attenuation coefficients'!$B$2:$B$37,MATCH($C363,'Mass attenuation coefficients'!$A$2:$A$37,1))+($C363-INDEX('Mass attenuation coefficients'!$A$2:$A$37,MATCH($C363,'Mass attenuation coefficients'!$A$2:$A$37,1)))*(INDEX('Mass attenuation coefficients'!$B$2:$B$37,MATCH($C363,'Mass attenuation coefficients'!$A$2:$A$37,1)+1)-INDEX('Mass attenuation coefficients'!$B$2:$B$37,MATCH($C363,'Mass attenuation coefficients'!$A$2:$A$37,1)))/(INDEX('Mass attenuation coefficients'!$A$2:$A$37,MATCH($C363,'Mass attenuation coefficients'!$A$2:$A$37,1)+1)-INDEX('Mass attenuation coefficients'!$A$2:$A$37,MATCH($C363,'Mass attenuation coefficients'!$A$2:$A$37,1)))),0.997*$C363*'Mass attenuation coefficients'!$B$2/'Mass attenuation coefficients'!$A$2)</f>
        <v>7.0125502463999997E-2</v>
      </c>
      <c r="I363" s="83">
        <f>_xlfn.IFNA(INDEX('Shultis Faw'!$C$2:$C$26,MATCH($C363,'Shultis Faw'!$A$2:$A$26,1))+($C363-INDEX('Shultis Faw'!$A$2:$A$26,MATCH($C363,'Shultis Faw'!$A$2:$A$26,1)))*(INDEX('Shultis Faw'!$C$2:$C$26,MATCH($C363,'Shultis Faw'!$A$2:$A$26,1)+1)-INDEX('Shultis Faw'!$C$2:$C$26,MATCH($C363,'Shultis Faw'!$A$2:$A$26,1)))/(INDEX('Shultis Faw'!$A$2:$A$26,MATCH($C363,'Shultis Faw'!$A$2:$A$26,1)+1)-INDEX('Shultis Faw'!$A$2:$A$26,MATCH($C363,'Shultis Faw'!$A$2:$A$26,1))),$C363*'Shultis Faw'!$C$2/'Shultis Faw'!$A$2)</f>
        <v>2.0988016000000003</v>
      </c>
      <c r="J363" s="83">
        <f>_xlfn.IFNA(INDEX('Shultis Faw'!$D$2:$D$26,MATCH($C363,'Shultis Faw'!$A$2:$A$26,1))+($C363-INDEX('Shultis Faw'!$A$2:$A$26,MATCH($C363,'Shultis Faw'!$A$2:$A$26,1)))*(INDEX('Shultis Faw'!$D$2:$D$26,MATCH($C363,'Shultis Faw'!$A$2:$A$26,1)+1)-INDEX('Shultis Faw'!$D$2:$D$26,MATCH($C363,'Shultis Faw'!$A$2:$A$26,1)))/(INDEX('Shultis Faw'!$A$2:$A$26,MATCH($C363,'Shultis Faw'!$A$2:$A$26,1)+1)-INDEX('Shultis Faw'!$A$2:$A$26,MATCH($C363,'Shultis Faw'!$A$2:$A$26,1))),$C363*'Shultis Faw'!$D$2/'Shultis Faw'!$A$2)</f>
        <v>1.4365968</v>
      </c>
      <c r="K363" s="83">
        <f>_xlfn.IFNA(INDEX('Shultis Faw'!$B$2:$B$26,MATCH($C363,'Shultis Faw'!$A$2:$A$26,1))+($C363-INDEX('Shultis Faw'!$A$2:$A$26,MATCH($C363,'Shultis Faw'!$A$2:$A$26,1)))*(INDEX('Shultis Faw'!$B$2:$B$26,MATCH($C363,'Shultis Faw'!$A$2:$A$26,1)+1)-INDEX('Shultis Faw'!$B$2:$B$26,MATCH($C363,'Shultis Faw'!$A$2:$A$26,1)))/(INDEX('Shultis Faw'!$A$2:$A$26,MATCH($C363,'Shultis Faw'!$A$2:$A$26,1)+1)-INDEX('Shultis Faw'!$A$2:$A$26,MATCH($C363,'Shultis Faw'!$A$2:$A$26,1))),$C363*'Shultis Faw'!$B$2/'Shultis Faw'!$A$2)</f>
        <v>-8.8206400000000004E-2</v>
      </c>
      <c r="L363" s="83">
        <f>_xlfn.IFNA(INDEX('Shultis Faw'!$E$2:$E$26,MATCH($C363,'Shultis Faw'!$A$2:$A$26,1))+($C363-INDEX('Shultis Faw'!$A$2:$A$26,MATCH($C363,'Shultis Faw'!$A$2:$A$26,1)))*(INDEX('Shultis Faw'!$E$2:$E$26,MATCH($C363,'Shultis Faw'!$A$2:$A$26,1)+1)-INDEX('Shultis Faw'!$E$2:$E$26,MATCH($C363,'Shultis Faw'!$A$2:$A$26,1)))/(INDEX('Shultis Faw'!$A$2:$A$26,MATCH($C363,'Shultis Faw'!$A$2:$A$26,1)+1)-INDEX('Shultis Faw'!$A$2:$A$26,MATCH($C363,'Shultis Faw'!$A$2:$A$26,1))),$C363*'Shultis Faw'!$E$2/'Shultis Faw'!$A$2)</f>
        <v>3.7462080000000002E-2</v>
      </c>
      <c r="M363" s="83">
        <f>_xlfn.IFNA(INDEX('Shultis Faw'!$F$2:$F$26,MATCH($C363,'Shultis Faw'!$A$2:$A$26,1))+($C363-INDEX('Shultis Faw'!$A$2:$A$26,MATCH($C363,'Shultis Faw'!$A$2:$A$26,1)))*(INDEX('Shultis Faw'!$F$2:$F$26,MATCH($C363,'Shultis Faw'!$A$2:$A$26,1)+1)-INDEX('Shultis Faw'!$F$2:$F$26,MATCH($C363,'Shultis Faw'!$A$2:$A$26,1)))/(INDEX('Shultis Faw'!$A$2:$A$26,MATCH($C363,'Shultis Faw'!$A$2:$A$26,1)+1)-INDEX('Shultis Faw'!$A$2:$A$26,MATCH($C363,'Shultis Faw'!$A$2:$A$26,1))),$C363*'Shultis Faw'!$F$2/'Shultis Faw'!$A$2)</f>
        <v>14.227680000000001</v>
      </c>
      <c r="N363" s="83">
        <f>J363*(H363*'Externe blootstelling'!$D$23/2)^K363+L363*(TANH(((H363*'Externe blootstelling'!$D$23)/(2*M363))-2)-TANH(-2))/(1-TANH(-2))</f>
        <v>1.4303086127842823</v>
      </c>
      <c r="O363" s="83">
        <f>IF(N363=1,1+(I363-1)*H363*'Externe blootstelling'!$D$23/2,1+(I363-1)*(N363^(H363*'Externe blootstelling'!$D$23/2)-1)/(N363-1))</f>
        <v>2.1672523694082231</v>
      </c>
      <c r="P363" s="67">
        <f>G363*EXP(-H363*'Externe blootstelling'!$D$23/2)*O363</f>
        <v>1.0291242094621745E-4</v>
      </c>
      <c r="Q363" s="68"/>
    </row>
    <row r="364" spans="1:17" x14ac:dyDescent="0.2">
      <c r="A364" s="217"/>
      <c r="B364" s="64" t="s">
        <v>104</v>
      </c>
      <c r="C364" s="66">
        <v>1.0229999999999999</v>
      </c>
      <c r="D364" s="66">
        <f t="shared" si="24"/>
        <v>1.6367999999999996E-13</v>
      </c>
      <c r="E364" s="66">
        <v>6.6000000000000005E-5</v>
      </c>
      <c r="F364" s="66">
        <f>_xlfn.IFNA(INDEX('hp (pSv cm2)'!$B$2:$B$52,MATCH($C364,'hp (pSv cm2)'!$A$2:$A$52,1))+($C364-INDEX('hp (pSv cm2)'!$A$2:$A$52,MATCH($C364,'hp (pSv cm2)'!$A$2:$A$52,1)))*(INDEX('hp (pSv cm2)'!$B$2:$B$52,MATCH($C364,'hp (pSv cm2)'!$A$2:$A$52,1)+1)-INDEX('hp (pSv cm2)'!$B$2:$B$52,MATCH($C364,'hp (pSv cm2)'!$A$2:$A$52,1)))/(INDEX('hp (pSv cm2)'!$A$2:$A$52,MATCH($C364,'hp (pSv cm2)'!$A$2:$A$52,1)+1)-INDEX('hp (pSv cm2)'!$A$2:$A$52,MATCH($C364,'hp (pSv cm2)'!$A$2:$A$52,1))),$C364*'hp (pSv cm2)'!$B$2/'hp (pSv cm2)'!$A$2)</f>
        <v>4.5649800000000003</v>
      </c>
      <c r="G364" s="67">
        <f t="shared" si="25"/>
        <v>3.0128868000000003E-4</v>
      </c>
      <c r="H364" s="83">
        <f>_xlfn.IFNA(0.997*(INDEX('Mass attenuation coefficients'!$B$2:$B$37,MATCH($C364,'Mass attenuation coefficients'!$A$2:$A$37,1))+($C364-INDEX('Mass attenuation coefficients'!$A$2:$A$37,MATCH($C364,'Mass attenuation coefficients'!$A$2:$A$37,1)))*(INDEX('Mass attenuation coefficients'!$B$2:$B$37,MATCH($C364,'Mass attenuation coefficients'!$A$2:$A$37,1)+1)-INDEX('Mass attenuation coefficients'!$B$2:$B$37,MATCH($C364,'Mass attenuation coefficients'!$A$2:$A$37,1)))/(INDEX('Mass attenuation coefficients'!$A$2:$A$37,MATCH($C364,'Mass attenuation coefficients'!$A$2:$A$37,1)+1)-INDEX('Mass attenuation coefficients'!$A$2:$A$37,MATCH($C364,'Mass attenuation coefficients'!$A$2:$A$37,1)))),0.997*$C364*'Mass attenuation coefficients'!$B$2/'Mass attenuation coefficients'!$A$2)</f>
        <v>6.9820827240000008E-2</v>
      </c>
      <c r="I364" s="83">
        <f>_xlfn.IFNA(INDEX('Shultis Faw'!$C$2:$C$26,MATCH($C364,'Shultis Faw'!$A$2:$A$26,1))+($C364-INDEX('Shultis Faw'!$A$2:$A$26,MATCH($C364,'Shultis Faw'!$A$2:$A$26,1)))*(INDEX('Shultis Faw'!$C$2:$C$26,MATCH($C364,'Shultis Faw'!$A$2:$A$26,1)+1)-INDEX('Shultis Faw'!$C$2:$C$26,MATCH($C364,'Shultis Faw'!$A$2:$A$26,1)))/(INDEX('Shultis Faw'!$A$2:$A$26,MATCH($C364,'Shultis Faw'!$A$2:$A$26,1)+1)-INDEX('Shultis Faw'!$A$2:$A$26,MATCH($C364,'Shultis Faw'!$A$2:$A$26,1))),$C364*'Shultis Faw'!$C$2/'Shultis Faw'!$A$2)</f>
        <v>2.0954560000000004</v>
      </c>
      <c r="J364" s="83">
        <f>_xlfn.IFNA(INDEX('Shultis Faw'!$D$2:$D$26,MATCH($C364,'Shultis Faw'!$A$2:$A$26,1))+($C364-INDEX('Shultis Faw'!$A$2:$A$26,MATCH($C364,'Shultis Faw'!$A$2:$A$26,1)))*(INDEX('Shultis Faw'!$D$2:$D$26,MATCH($C364,'Shultis Faw'!$A$2:$A$26,1)+1)-INDEX('Shultis Faw'!$D$2:$D$26,MATCH($C364,'Shultis Faw'!$A$2:$A$26,1)))/(INDEX('Shultis Faw'!$A$2:$A$26,MATCH($C364,'Shultis Faw'!$A$2:$A$26,1)+1)-INDEX('Shultis Faw'!$A$2:$A$26,MATCH($C364,'Shultis Faw'!$A$2:$A$26,1))),$C364*'Shultis Faw'!$D$2/'Shultis Faw'!$A$2)</f>
        <v>1.4330880000000001</v>
      </c>
      <c r="K364" s="83">
        <f>_xlfn.IFNA(INDEX('Shultis Faw'!$B$2:$B$26,MATCH($C364,'Shultis Faw'!$A$2:$A$26,1))+($C364-INDEX('Shultis Faw'!$A$2:$A$26,MATCH($C364,'Shultis Faw'!$A$2:$A$26,1)))*(INDEX('Shultis Faw'!$B$2:$B$26,MATCH($C364,'Shultis Faw'!$A$2:$A$26,1)+1)-INDEX('Shultis Faw'!$B$2:$B$26,MATCH($C364,'Shultis Faw'!$A$2:$A$26,1)))/(INDEX('Shultis Faw'!$A$2:$A$26,MATCH($C364,'Shultis Faw'!$A$2:$A$26,1)+1)-INDEX('Shultis Faw'!$A$2:$A$26,MATCH($C364,'Shultis Faw'!$A$2:$A$26,1))),$C364*'Shultis Faw'!$B$2/'Shultis Faw'!$A$2)</f>
        <v>-8.7573999999999999E-2</v>
      </c>
      <c r="L364" s="83">
        <f>_xlfn.IFNA(INDEX('Shultis Faw'!$E$2:$E$26,MATCH($C364,'Shultis Faw'!$A$2:$A$26,1))+($C364-INDEX('Shultis Faw'!$A$2:$A$26,MATCH($C364,'Shultis Faw'!$A$2:$A$26,1)))*(INDEX('Shultis Faw'!$E$2:$E$26,MATCH($C364,'Shultis Faw'!$A$2:$A$26,1)+1)-INDEX('Shultis Faw'!$E$2:$E$26,MATCH($C364,'Shultis Faw'!$A$2:$A$26,1)))/(INDEX('Shultis Faw'!$A$2:$A$26,MATCH($C364,'Shultis Faw'!$A$2:$A$26,1)+1)-INDEX('Shultis Faw'!$A$2:$A$26,MATCH($C364,'Shultis Faw'!$A$2:$A$26,1))),$C364*'Shultis Faw'!$E$2/'Shultis Faw'!$A$2)</f>
        <v>3.7192800000000005E-2</v>
      </c>
      <c r="M364" s="83">
        <f>_xlfn.IFNA(INDEX('Shultis Faw'!$F$2:$F$26,MATCH($C364,'Shultis Faw'!$A$2:$A$26,1))+($C364-INDEX('Shultis Faw'!$A$2:$A$26,MATCH($C364,'Shultis Faw'!$A$2:$A$26,1)))*(INDEX('Shultis Faw'!$F$2:$F$26,MATCH($C364,'Shultis Faw'!$A$2:$A$26,1)+1)-INDEX('Shultis Faw'!$F$2:$F$26,MATCH($C364,'Shultis Faw'!$A$2:$A$26,1)))/(INDEX('Shultis Faw'!$A$2:$A$26,MATCH($C364,'Shultis Faw'!$A$2:$A$26,1)+1)-INDEX('Shultis Faw'!$A$2:$A$26,MATCH($C364,'Shultis Faw'!$A$2:$A$26,1))),$C364*'Shultis Faw'!$F$2/'Shultis Faw'!$A$2)</f>
        <v>14.2338</v>
      </c>
      <c r="N364" s="83">
        <f>J364*(H364*'Externe blootstelling'!$D$23/2)^K364+L364*(TANH(((H364*'Externe blootstelling'!$D$23)/(2*M364))-2)-TANH(-2))/(1-TANH(-2))</f>
        <v>1.4274039004754953</v>
      </c>
      <c r="O364" s="83">
        <f>IF(N364=1,1+(I364-1)*H364*'Externe blootstelling'!$D$23/2,1+(I364-1)*(N364^(H364*'Externe blootstelling'!$D$23/2)-1)/(N364-1))</f>
        <v>2.1575737110952335</v>
      </c>
      <c r="P364" s="67">
        <f>G364*EXP(-H364*'Externe blootstelling'!$D$23/2)*O364</f>
        <v>2.2809011104246525E-4</v>
      </c>
      <c r="Q364" s="68"/>
    </row>
    <row r="365" spans="1:17" x14ac:dyDescent="0.2">
      <c r="A365" s="217"/>
      <c r="B365" s="64" t="s">
        <v>104</v>
      </c>
      <c r="C365" s="66">
        <v>1.0334000000000001</v>
      </c>
      <c r="D365" s="66">
        <f t="shared" si="24"/>
        <v>1.6534400000000002E-13</v>
      </c>
      <c r="E365" s="66">
        <v>1.1900000000000001E-4</v>
      </c>
      <c r="F365" s="66">
        <f>_xlfn.IFNA(INDEX('hp (pSv cm2)'!$B$2:$B$52,MATCH($C365,'hp (pSv cm2)'!$A$2:$A$52,1))+($C365-INDEX('hp (pSv cm2)'!$A$2:$A$52,MATCH($C365,'hp (pSv cm2)'!$A$2:$A$52,1)))*(INDEX('hp (pSv cm2)'!$B$2:$B$52,MATCH($C365,'hp (pSv cm2)'!$A$2:$A$52,1)+1)-INDEX('hp (pSv cm2)'!$B$2:$B$52,MATCH($C365,'hp (pSv cm2)'!$A$2:$A$52,1)))/(INDEX('hp (pSv cm2)'!$A$2:$A$52,MATCH($C365,'hp (pSv cm2)'!$A$2:$A$52,1)+1)-INDEX('hp (pSv cm2)'!$A$2:$A$52,MATCH($C365,'hp (pSv cm2)'!$A$2:$A$52,1))),$C365*'hp (pSv cm2)'!$B$2/'hp (pSv cm2)'!$A$2)</f>
        <v>4.5988840000000009</v>
      </c>
      <c r="G365" s="67">
        <f t="shared" si="25"/>
        <v>5.4726719600000013E-4</v>
      </c>
      <c r="H365" s="83">
        <f>_xlfn.IFNA(0.997*(INDEX('Mass attenuation coefficients'!$B$2:$B$37,MATCH($C365,'Mass attenuation coefficients'!$A$2:$A$37,1))+($C365-INDEX('Mass attenuation coefficients'!$A$2:$A$37,MATCH($C365,'Mass attenuation coefficients'!$A$2:$A$37,1)))*(INDEX('Mass attenuation coefficients'!$B$2:$B$37,MATCH($C365,'Mass attenuation coefficients'!$A$2:$A$37,1)+1)-INDEX('Mass attenuation coefficients'!$B$2:$B$37,MATCH($C365,'Mass attenuation coefficients'!$A$2:$A$37,1)))/(INDEX('Mass attenuation coefficients'!$A$2:$A$37,MATCH($C365,'Mass attenuation coefficients'!$A$2:$A$37,1)+1)-INDEX('Mass attenuation coefficients'!$A$2:$A$37,MATCH($C365,'Mass attenuation coefficients'!$A$2:$A$37,1)))),0.997*$C365*'Mass attenuation coefficients'!$B$2/'Mass attenuation coefficients'!$A$2)</f>
        <v>6.9510177992000002E-2</v>
      </c>
      <c r="I365" s="83">
        <f>_xlfn.IFNA(INDEX('Shultis Faw'!$C$2:$C$26,MATCH($C365,'Shultis Faw'!$A$2:$A$26,1))+($C365-INDEX('Shultis Faw'!$A$2:$A$26,MATCH($C365,'Shultis Faw'!$A$2:$A$26,1)))*(INDEX('Shultis Faw'!$C$2:$C$26,MATCH($C365,'Shultis Faw'!$A$2:$A$26,1)+1)-INDEX('Shultis Faw'!$C$2:$C$26,MATCH($C365,'Shultis Faw'!$A$2:$A$26,1)))/(INDEX('Shultis Faw'!$A$2:$A$26,MATCH($C365,'Shultis Faw'!$A$2:$A$26,1)+1)-INDEX('Shultis Faw'!$A$2:$A$26,MATCH($C365,'Shultis Faw'!$A$2:$A$26,1))),$C365*'Shultis Faw'!$C$2/'Shultis Faw'!$A$2)</f>
        <v>2.0920448</v>
      </c>
      <c r="J365" s="83">
        <f>_xlfn.IFNA(INDEX('Shultis Faw'!$D$2:$D$26,MATCH($C365,'Shultis Faw'!$A$2:$A$26,1))+($C365-INDEX('Shultis Faw'!$A$2:$A$26,MATCH($C365,'Shultis Faw'!$A$2:$A$26,1)))*(INDEX('Shultis Faw'!$D$2:$D$26,MATCH($C365,'Shultis Faw'!$A$2:$A$26,1)+1)-INDEX('Shultis Faw'!$D$2:$D$26,MATCH($C365,'Shultis Faw'!$A$2:$A$26,1)))/(INDEX('Shultis Faw'!$A$2:$A$26,MATCH($C365,'Shultis Faw'!$A$2:$A$26,1)+1)-INDEX('Shultis Faw'!$A$2:$A$26,MATCH($C365,'Shultis Faw'!$A$2:$A$26,1))),$C365*'Shultis Faw'!$D$2/'Shultis Faw'!$A$2)</f>
        <v>1.4295104000000001</v>
      </c>
      <c r="K365" s="83">
        <f>_xlfn.IFNA(INDEX('Shultis Faw'!$B$2:$B$26,MATCH($C365,'Shultis Faw'!$A$2:$A$26,1))+($C365-INDEX('Shultis Faw'!$A$2:$A$26,MATCH($C365,'Shultis Faw'!$A$2:$A$26,1)))*(INDEX('Shultis Faw'!$B$2:$B$26,MATCH($C365,'Shultis Faw'!$A$2:$A$26,1)+1)-INDEX('Shultis Faw'!$B$2:$B$26,MATCH($C365,'Shultis Faw'!$A$2:$A$26,1)))/(INDEX('Shultis Faw'!$A$2:$A$26,MATCH($C365,'Shultis Faw'!$A$2:$A$26,1)+1)-INDEX('Shultis Faw'!$A$2:$A$26,MATCH($C365,'Shultis Faw'!$A$2:$A$26,1))),$C365*'Shultis Faw'!$B$2/'Shultis Faw'!$A$2)</f>
        <v>-8.6929199999999984E-2</v>
      </c>
      <c r="L365" s="83">
        <f>_xlfn.IFNA(INDEX('Shultis Faw'!$E$2:$E$26,MATCH($C365,'Shultis Faw'!$A$2:$A$26,1))+($C365-INDEX('Shultis Faw'!$A$2:$A$26,MATCH($C365,'Shultis Faw'!$A$2:$A$26,1)))*(INDEX('Shultis Faw'!$E$2:$E$26,MATCH($C365,'Shultis Faw'!$A$2:$A$26,1)+1)-INDEX('Shultis Faw'!$E$2:$E$26,MATCH($C365,'Shultis Faw'!$A$2:$A$26,1)))/(INDEX('Shultis Faw'!$A$2:$A$26,MATCH($C365,'Shultis Faw'!$A$2:$A$26,1)+1)-INDEX('Shultis Faw'!$A$2:$A$26,MATCH($C365,'Shultis Faw'!$A$2:$A$26,1))),$C365*'Shultis Faw'!$E$2/'Shultis Faw'!$A$2)</f>
        <v>3.6918239999999998E-2</v>
      </c>
      <c r="M365" s="83">
        <f>_xlfn.IFNA(INDEX('Shultis Faw'!$F$2:$F$26,MATCH($C365,'Shultis Faw'!$A$2:$A$26,1))+($C365-INDEX('Shultis Faw'!$A$2:$A$26,MATCH($C365,'Shultis Faw'!$A$2:$A$26,1)))*(INDEX('Shultis Faw'!$F$2:$F$26,MATCH($C365,'Shultis Faw'!$A$2:$A$26,1)+1)-INDEX('Shultis Faw'!$F$2:$F$26,MATCH($C365,'Shultis Faw'!$A$2:$A$26,1)))/(INDEX('Shultis Faw'!$A$2:$A$26,MATCH($C365,'Shultis Faw'!$A$2:$A$26,1)+1)-INDEX('Shultis Faw'!$A$2:$A$26,MATCH($C365,'Shultis Faw'!$A$2:$A$26,1))),$C365*'Shultis Faw'!$F$2/'Shultis Faw'!$A$2)</f>
        <v>14.24004</v>
      </c>
      <c r="N365" s="83">
        <f>J365*(H365*'Externe blootstelling'!$D$23/2)^K365+L365*(TANH(((H365*'Externe blootstelling'!$D$23)/(2*M365))-2)-TANH(-2))/(1-TANH(-2))</f>
        <v>1.4244338701946802</v>
      </c>
      <c r="O365" s="83">
        <f>IF(N365=1,1+(I365-1)*H365*'Externe blootstelling'!$D$23/2,1+(I365-1)*(N365^(H365*'Externe blootstelling'!$D$23/2)-1)/(N365-1))</f>
        <v>2.1477667295929148</v>
      </c>
      <c r="P365" s="67">
        <f>G365*EXP(-H365*'Externe blootstelling'!$D$23/2)*O365</f>
        <v>4.1435084244276465E-4</v>
      </c>
      <c r="Q365" s="68"/>
    </row>
    <row r="366" spans="1:17" x14ac:dyDescent="0.2">
      <c r="A366" s="217"/>
      <c r="B366" s="64" t="s">
        <v>104</v>
      </c>
      <c r="C366" s="66">
        <v>1.0474000000000001</v>
      </c>
      <c r="D366" s="66">
        <f t="shared" si="24"/>
        <v>1.6758400000000002E-13</v>
      </c>
      <c r="E366" s="66">
        <v>4.8999999999999998E-4</v>
      </c>
      <c r="F366" s="66">
        <f>_xlfn.IFNA(INDEX('hp (pSv cm2)'!$B$2:$B$52,MATCH($C366,'hp (pSv cm2)'!$A$2:$A$52,1))+($C366-INDEX('hp (pSv cm2)'!$A$2:$A$52,MATCH($C366,'hp (pSv cm2)'!$A$2:$A$52,1)))*(INDEX('hp (pSv cm2)'!$B$2:$B$52,MATCH($C366,'hp (pSv cm2)'!$A$2:$A$52,1)+1)-INDEX('hp (pSv cm2)'!$B$2:$B$52,MATCH($C366,'hp (pSv cm2)'!$A$2:$A$52,1)))/(INDEX('hp (pSv cm2)'!$A$2:$A$52,MATCH($C366,'hp (pSv cm2)'!$A$2:$A$52,1)+1)-INDEX('hp (pSv cm2)'!$A$2:$A$52,MATCH($C366,'hp (pSv cm2)'!$A$2:$A$52,1))),$C366*'hp (pSv cm2)'!$B$2/'hp (pSv cm2)'!$A$2)</f>
        <v>4.6445240000000005</v>
      </c>
      <c r="G366" s="67">
        <f t="shared" si="25"/>
        <v>2.2758167600000004E-3</v>
      </c>
      <c r="H366" s="83">
        <f>_xlfn.IFNA(0.997*(INDEX('Mass attenuation coefficients'!$B$2:$B$37,MATCH($C366,'Mass attenuation coefficients'!$A$2:$A$37,1))+($C366-INDEX('Mass attenuation coefficients'!$A$2:$A$37,MATCH($C366,'Mass attenuation coefficients'!$A$2:$A$37,1)))*(INDEX('Mass attenuation coefficients'!$B$2:$B$37,MATCH($C366,'Mass attenuation coefficients'!$A$2:$A$37,1)+1)-INDEX('Mass attenuation coefficients'!$B$2:$B$37,MATCH($C366,'Mass attenuation coefficients'!$A$2:$A$37,1)))/(INDEX('Mass attenuation coefficients'!$A$2:$A$37,MATCH($C366,'Mass attenuation coefficients'!$A$2:$A$37,1)+1)-INDEX('Mass attenuation coefficients'!$A$2:$A$37,MATCH($C366,'Mass attenuation coefficients'!$A$2:$A$37,1)))),0.997*$C366*'Mass attenuation coefficients'!$B$2/'Mass attenuation coefficients'!$A$2)</f>
        <v>6.9091996311999998E-2</v>
      </c>
      <c r="I366" s="83">
        <f>_xlfn.IFNA(INDEX('Shultis Faw'!$C$2:$C$26,MATCH($C366,'Shultis Faw'!$A$2:$A$26,1))+($C366-INDEX('Shultis Faw'!$A$2:$A$26,MATCH($C366,'Shultis Faw'!$A$2:$A$26,1)))*(INDEX('Shultis Faw'!$C$2:$C$26,MATCH($C366,'Shultis Faw'!$A$2:$A$26,1)+1)-INDEX('Shultis Faw'!$C$2:$C$26,MATCH($C366,'Shultis Faw'!$A$2:$A$26,1)))/(INDEX('Shultis Faw'!$A$2:$A$26,MATCH($C366,'Shultis Faw'!$A$2:$A$26,1)+1)-INDEX('Shultis Faw'!$A$2:$A$26,MATCH($C366,'Shultis Faw'!$A$2:$A$26,1))),$C366*'Shultis Faw'!$C$2/'Shultis Faw'!$A$2)</f>
        <v>2.0874528000000003</v>
      </c>
      <c r="J366" s="83">
        <f>_xlfn.IFNA(INDEX('Shultis Faw'!$D$2:$D$26,MATCH($C366,'Shultis Faw'!$A$2:$A$26,1))+($C366-INDEX('Shultis Faw'!$A$2:$A$26,MATCH($C366,'Shultis Faw'!$A$2:$A$26,1)))*(INDEX('Shultis Faw'!$D$2:$D$26,MATCH($C366,'Shultis Faw'!$A$2:$A$26,1)+1)-INDEX('Shultis Faw'!$D$2:$D$26,MATCH($C366,'Shultis Faw'!$A$2:$A$26,1)))/(INDEX('Shultis Faw'!$A$2:$A$26,MATCH($C366,'Shultis Faw'!$A$2:$A$26,1)+1)-INDEX('Shultis Faw'!$A$2:$A$26,MATCH($C366,'Shultis Faw'!$A$2:$A$26,1))),$C366*'Shultis Faw'!$D$2/'Shultis Faw'!$A$2)</f>
        <v>1.4246943999999999</v>
      </c>
      <c r="K366" s="83">
        <f>_xlfn.IFNA(INDEX('Shultis Faw'!$B$2:$B$26,MATCH($C366,'Shultis Faw'!$A$2:$A$26,1))+($C366-INDEX('Shultis Faw'!$A$2:$A$26,MATCH($C366,'Shultis Faw'!$A$2:$A$26,1)))*(INDEX('Shultis Faw'!$B$2:$B$26,MATCH($C366,'Shultis Faw'!$A$2:$A$26,1)+1)-INDEX('Shultis Faw'!$B$2:$B$26,MATCH($C366,'Shultis Faw'!$A$2:$A$26,1)))/(INDEX('Shultis Faw'!$A$2:$A$26,MATCH($C366,'Shultis Faw'!$A$2:$A$26,1)+1)-INDEX('Shultis Faw'!$A$2:$A$26,MATCH($C366,'Shultis Faw'!$A$2:$A$26,1))),$C366*'Shultis Faw'!$B$2/'Shultis Faw'!$A$2)</f>
        <v>-8.606119999999999E-2</v>
      </c>
      <c r="L366" s="83">
        <f>_xlfn.IFNA(INDEX('Shultis Faw'!$E$2:$E$26,MATCH($C366,'Shultis Faw'!$A$2:$A$26,1))+($C366-INDEX('Shultis Faw'!$A$2:$A$26,MATCH($C366,'Shultis Faw'!$A$2:$A$26,1)))*(INDEX('Shultis Faw'!$E$2:$E$26,MATCH($C366,'Shultis Faw'!$A$2:$A$26,1)+1)-INDEX('Shultis Faw'!$E$2:$E$26,MATCH($C366,'Shultis Faw'!$A$2:$A$26,1)))/(INDEX('Shultis Faw'!$A$2:$A$26,MATCH($C366,'Shultis Faw'!$A$2:$A$26,1)+1)-INDEX('Shultis Faw'!$A$2:$A$26,MATCH($C366,'Shultis Faw'!$A$2:$A$26,1))),$C366*'Shultis Faw'!$E$2/'Shultis Faw'!$A$2)</f>
        <v>3.654864E-2</v>
      </c>
      <c r="M366" s="83">
        <f>_xlfn.IFNA(INDEX('Shultis Faw'!$F$2:$F$26,MATCH($C366,'Shultis Faw'!$A$2:$A$26,1))+($C366-INDEX('Shultis Faw'!$A$2:$A$26,MATCH($C366,'Shultis Faw'!$A$2:$A$26,1)))*(INDEX('Shultis Faw'!$F$2:$F$26,MATCH($C366,'Shultis Faw'!$A$2:$A$26,1)+1)-INDEX('Shultis Faw'!$F$2:$F$26,MATCH($C366,'Shultis Faw'!$A$2:$A$26,1)))/(INDEX('Shultis Faw'!$A$2:$A$26,MATCH($C366,'Shultis Faw'!$A$2:$A$26,1)+1)-INDEX('Shultis Faw'!$A$2:$A$26,MATCH($C366,'Shultis Faw'!$A$2:$A$26,1))),$C366*'Shultis Faw'!$F$2/'Shultis Faw'!$A$2)</f>
        <v>14.24844</v>
      </c>
      <c r="N366" s="83">
        <f>J366*(H366*'Externe blootstelling'!$D$23/2)^K366+L366*(TANH(((H366*'Externe blootstelling'!$D$23)/(2*M366))-2)-TANH(-2))/(1-TANH(-2))</f>
        <v>1.4204224203126234</v>
      </c>
      <c r="O366" s="83">
        <f>IF(N366=1,1+(I366-1)*H366*'Externe blootstelling'!$D$23/2,1+(I366-1)*(N366^(H366*'Externe blootstelling'!$D$23/2)-1)/(N366-1))</f>
        <v>2.134662375678432</v>
      </c>
      <c r="P366" s="67">
        <f>G366*EXP(-H366*'Externe blootstelling'!$D$23/2)*O366</f>
        <v>1.723345664076714E-3</v>
      </c>
      <c r="Q366" s="68"/>
    </row>
    <row r="367" spans="1:17" x14ac:dyDescent="0.2">
      <c r="A367" s="217"/>
      <c r="B367" s="64" t="s">
        <v>104</v>
      </c>
      <c r="C367" s="66">
        <v>1.0494000000000001</v>
      </c>
      <c r="D367" s="66">
        <f t="shared" si="24"/>
        <v>1.6790399999999998E-13</v>
      </c>
      <c r="E367" s="66">
        <v>1.7200000000000001E-4</v>
      </c>
      <c r="F367" s="66">
        <f>_xlfn.IFNA(INDEX('hp (pSv cm2)'!$B$2:$B$52,MATCH($C367,'hp (pSv cm2)'!$A$2:$A$52,1))+($C367-INDEX('hp (pSv cm2)'!$A$2:$A$52,MATCH($C367,'hp (pSv cm2)'!$A$2:$A$52,1)))*(INDEX('hp (pSv cm2)'!$B$2:$B$52,MATCH($C367,'hp (pSv cm2)'!$A$2:$A$52,1)+1)-INDEX('hp (pSv cm2)'!$B$2:$B$52,MATCH($C367,'hp (pSv cm2)'!$A$2:$A$52,1)))/(INDEX('hp (pSv cm2)'!$A$2:$A$52,MATCH($C367,'hp (pSv cm2)'!$A$2:$A$52,1)+1)-INDEX('hp (pSv cm2)'!$A$2:$A$52,MATCH($C367,'hp (pSv cm2)'!$A$2:$A$52,1))),$C367*'hp (pSv cm2)'!$B$2/'hp (pSv cm2)'!$A$2)</f>
        <v>4.6510440000000006</v>
      </c>
      <c r="G367" s="67">
        <f t="shared" si="25"/>
        <v>7.9997956800000015E-4</v>
      </c>
      <c r="H367" s="83">
        <f>_xlfn.IFNA(0.997*(INDEX('Mass attenuation coefficients'!$B$2:$B$37,MATCH($C367,'Mass attenuation coefficients'!$A$2:$A$37,1))+($C367-INDEX('Mass attenuation coefficients'!$A$2:$A$37,MATCH($C367,'Mass attenuation coefficients'!$A$2:$A$37,1)))*(INDEX('Mass attenuation coefficients'!$B$2:$B$37,MATCH($C367,'Mass attenuation coefficients'!$A$2:$A$37,1)+1)-INDEX('Mass attenuation coefficients'!$B$2:$B$37,MATCH($C367,'Mass attenuation coefficients'!$A$2:$A$37,1)))/(INDEX('Mass attenuation coefficients'!$A$2:$A$37,MATCH($C367,'Mass attenuation coefficients'!$A$2:$A$37,1)+1)-INDEX('Mass attenuation coefficients'!$A$2:$A$37,MATCH($C367,'Mass attenuation coefficients'!$A$2:$A$37,1)))),0.997*$C367*'Mass attenuation coefficients'!$B$2/'Mass attenuation coefficients'!$A$2)</f>
        <v>6.9032256071999989E-2</v>
      </c>
      <c r="I367" s="83">
        <f>_xlfn.IFNA(INDEX('Shultis Faw'!$C$2:$C$26,MATCH($C367,'Shultis Faw'!$A$2:$A$26,1))+($C367-INDEX('Shultis Faw'!$A$2:$A$26,MATCH($C367,'Shultis Faw'!$A$2:$A$26,1)))*(INDEX('Shultis Faw'!$C$2:$C$26,MATCH($C367,'Shultis Faw'!$A$2:$A$26,1)+1)-INDEX('Shultis Faw'!$C$2:$C$26,MATCH($C367,'Shultis Faw'!$A$2:$A$26,1)))/(INDEX('Shultis Faw'!$A$2:$A$26,MATCH($C367,'Shultis Faw'!$A$2:$A$26,1)+1)-INDEX('Shultis Faw'!$A$2:$A$26,MATCH($C367,'Shultis Faw'!$A$2:$A$26,1))),$C367*'Shultis Faw'!$C$2/'Shultis Faw'!$A$2)</f>
        <v>2.0867968000000001</v>
      </c>
      <c r="J367" s="83">
        <f>_xlfn.IFNA(INDEX('Shultis Faw'!$D$2:$D$26,MATCH($C367,'Shultis Faw'!$A$2:$A$26,1))+($C367-INDEX('Shultis Faw'!$A$2:$A$26,MATCH($C367,'Shultis Faw'!$A$2:$A$26,1)))*(INDEX('Shultis Faw'!$D$2:$D$26,MATCH($C367,'Shultis Faw'!$A$2:$A$26,1)+1)-INDEX('Shultis Faw'!$D$2:$D$26,MATCH($C367,'Shultis Faw'!$A$2:$A$26,1)))/(INDEX('Shultis Faw'!$A$2:$A$26,MATCH($C367,'Shultis Faw'!$A$2:$A$26,1)+1)-INDEX('Shultis Faw'!$A$2:$A$26,MATCH($C367,'Shultis Faw'!$A$2:$A$26,1))),$C367*'Shultis Faw'!$D$2/'Shultis Faw'!$A$2)</f>
        <v>1.4240064000000001</v>
      </c>
      <c r="K367" s="83">
        <f>_xlfn.IFNA(INDEX('Shultis Faw'!$B$2:$B$26,MATCH($C367,'Shultis Faw'!$A$2:$A$26,1))+($C367-INDEX('Shultis Faw'!$A$2:$A$26,MATCH($C367,'Shultis Faw'!$A$2:$A$26,1)))*(INDEX('Shultis Faw'!$B$2:$B$26,MATCH($C367,'Shultis Faw'!$A$2:$A$26,1)+1)-INDEX('Shultis Faw'!$B$2:$B$26,MATCH($C367,'Shultis Faw'!$A$2:$A$26,1)))/(INDEX('Shultis Faw'!$A$2:$A$26,MATCH($C367,'Shultis Faw'!$A$2:$A$26,1)+1)-INDEX('Shultis Faw'!$A$2:$A$26,MATCH($C367,'Shultis Faw'!$A$2:$A$26,1))),$C367*'Shultis Faw'!$B$2/'Shultis Faw'!$A$2)</f>
        <v>-8.5937199999999991E-2</v>
      </c>
      <c r="L367" s="83">
        <f>_xlfn.IFNA(INDEX('Shultis Faw'!$E$2:$E$26,MATCH($C367,'Shultis Faw'!$A$2:$A$26,1))+($C367-INDEX('Shultis Faw'!$A$2:$A$26,MATCH($C367,'Shultis Faw'!$A$2:$A$26,1)))*(INDEX('Shultis Faw'!$E$2:$E$26,MATCH($C367,'Shultis Faw'!$A$2:$A$26,1)+1)-INDEX('Shultis Faw'!$E$2:$E$26,MATCH($C367,'Shultis Faw'!$A$2:$A$26,1)))/(INDEX('Shultis Faw'!$A$2:$A$26,MATCH($C367,'Shultis Faw'!$A$2:$A$26,1)+1)-INDEX('Shultis Faw'!$A$2:$A$26,MATCH($C367,'Shultis Faw'!$A$2:$A$26,1))),$C367*'Shultis Faw'!$E$2/'Shultis Faw'!$A$2)</f>
        <v>3.6495839999999995E-2</v>
      </c>
      <c r="M367" s="83">
        <f>_xlfn.IFNA(INDEX('Shultis Faw'!$F$2:$F$26,MATCH($C367,'Shultis Faw'!$A$2:$A$26,1))+($C367-INDEX('Shultis Faw'!$A$2:$A$26,MATCH($C367,'Shultis Faw'!$A$2:$A$26,1)))*(INDEX('Shultis Faw'!$F$2:$F$26,MATCH($C367,'Shultis Faw'!$A$2:$A$26,1)+1)-INDEX('Shultis Faw'!$F$2:$F$26,MATCH($C367,'Shultis Faw'!$A$2:$A$26,1)))/(INDEX('Shultis Faw'!$A$2:$A$26,MATCH($C367,'Shultis Faw'!$A$2:$A$26,1)+1)-INDEX('Shultis Faw'!$A$2:$A$26,MATCH($C367,'Shultis Faw'!$A$2:$A$26,1))),$C367*'Shultis Faw'!$F$2/'Shultis Faw'!$A$2)</f>
        <v>14.249640000000001</v>
      </c>
      <c r="N367" s="83">
        <f>J367*(H367*'Externe blootstelling'!$D$23/2)^K367+L367*(TANH(((H367*'Externe blootstelling'!$D$23)/(2*M367))-2)-TANH(-2))/(1-TANH(-2))</f>
        <v>1.4198481072824938</v>
      </c>
      <c r="O367" s="83">
        <f>IF(N367=1,1+(I367-1)*H367*'Externe blootstelling'!$D$23/2,1+(I367-1)*(N367^(H367*'Externe blootstelling'!$D$23/2)-1)/(N367-1))</f>
        <v>2.1327993995204517</v>
      </c>
      <c r="P367" s="67">
        <f>G367*EXP(-H367*'Externe blootstelling'!$D$23/2)*O367</f>
        <v>6.0579263143633439E-4</v>
      </c>
      <c r="Q367" s="68"/>
    </row>
    <row r="368" spans="1:17" x14ac:dyDescent="0.2">
      <c r="A368" s="217"/>
      <c r="B368" s="64" t="s">
        <v>104</v>
      </c>
      <c r="C368" s="66">
        <v>1.0722</v>
      </c>
      <c r="D368" s="66">
        <f t="shared" si="24"/>
        <v>1.7155199999999998E-13</v>
      </c>
      <c r="E368" s="66">
        <v>3.5000000000000004E-5</v>
      </c>
      <c r="F368" s="66">
        <f>_xlfn.IFNA(INDEX('hp (pSv cm2)'!$B$2:$B$52,MATCH($C368,'hp (pSv cm2)'!$A$2:$A$52,1))+($C368-INDEX('hp (pSv cm2)'!$A$2:$A$52,MATCH($C368,'hp (pSv cm2)'!$A$2:$A$52,1)))*(INDEX('hp (pSv cm2)'!$B$2:$B$52,MATCH($C368,'hp (pSv cm2)'!$A$2:$A$52,1)+1)-INDEX('hp (pSv cm2)'!$B$2:$B$52,MATCH($C368,'hp (pSv cm2)'!$A$2:$A$52,1)))/(INDEX('hp (pSv cm2)'!$A$2:$A$52,MATCH($C368,'hp (pSv cm2)'!$A$2:$A$52,1)+1)-INDEX('hp (pSv cm2)'!$A$2:$A$52,MATCH($C368,'hp (pSv cm2)'!$A$2:$A$52,1))),$C368*'hp (pSv cm2)'!$B$2/'hp (pSv cm2)'!$A$2)</f>
        <v>4.7253720000000001</v>
      </c>
      <c r="G368" s="67">
        <f t="shared" si="25"/>
        <v>1.6538802000000001E-4</v>
      </c>
      <c r="H368" s="83">
        <f>_xlfn.IFNA(0.997*(INDEX('Mass attenuation coefficients'!$B$2:$B$37,MATCH($C368,'Mass attenuation coefficients'!$A$2:$A$37,1))+($C368-INDEX('Mass attenuation coefficients'!$A$2:$A$37,MATCH($C368,'Mass attenuation coefficients'!$A$2:$A$37,1)))*(INDEX('Mass attenuation coefficients'!$B$2:$B$37,MATCH($C368,'Mass attenuation coefficients'!$A$2:$A$37,1)+1)-INDEX('Mass attenuation coefficients'!$B$2:$B$37,MATCH($C368,'Mass attenuation coefficients'!$A$2:$A$37,1)))/(INDEX('Mass attenuation coefficients'!$A$2:$A$37,MATCH($C368,'Mass attenuation coefficients'!$A$2:$A$37,1)+1)-INDEX('Mass attenuation coefficients'!$A$2:$A$37,MATCH($C368,'Mass attenuation coefficients'!$A$2:$A$37,1)))),0.997*$C368*'Mass attenuation coefficients'!$B$2/'Mass attenuation coefficients'!$A$2)</f>
        <v>6.8351217335999997E-2</v>
      </c>
      <c r="I368" s="83">
        <f>_xlfn.IFNA(INDEX('Shultis Faw'!$C$2:$C$26,MATCH($C368,'Shultis Faw'!$A$2:$A$26,1))+($C368-INDEX('Shultis Faw'!$A$2:$A$26,MATCH($C368,'Shultis Faw'!$A$2:$A$26,1)))*(INDEX('Shultis Faw'!$C$2:$C$26,MATCH($C368,'Shultis Faw'!$A$2:$A$26,1)+1)-INDEX('Shultis Faw'!$C$2:$C$26,MATCH($C368,'Shultis Faw'!$A$2:$A$26,1)))/(INDEX('Shultis Faw'!$A$2:$A$26,MATCH($C368,'Shultis Faw'!$A$2:$A$26,1)+1)-INDEX('Shultis Faw'!$A$2:$A$26,MATCH($C368,'Shultis Faw'!$A$2:$A$26,1))),$C368*'Shultis Faw'!$C$2/'Shultis Faw'!$A$2)</f>
        <v>2.0793184</v>
      </c>
      <c r="J368" s="83">
        <f>_xlfn.IFNA(INDEX('Shultis Faw'!$D$2:$D$26,MATCH($C368,'Shultis Faw'!$A$2:$A$26,1))+($C368-INDEX('Shultis Faw'!$A$2:$A$26,MATCH($C368,'Shultis Faw'!$A$2:$A$26,1)))*(INDEX('Shultis Faw'!$D$2:$D$26,MATCH($C368,'Shultis Faw'!$A$2:$A$26,1)+1)-INDEX('Shultis Faw'!$D$2:$D$26,MATCH($C368,'Shultis Faw'!$A$2:$A$26,1)))/(INDEX('Shultis Faw'!$A$2:$A$26,MATCH($C368,'Shultis Faw'!$A$2:$A$26,1)+1)-INDEX('Shultis Faw'!$A$2:$A$26,MATCH($C368,'Shultis Faw'!$A$2:$A$26,1))),$C368*'Shultis Faw'!$D$2/'Shultis Faw'!$A$2)</f>
        <v>1.4161632</v>
      </c>
      <c r="K368" s="83">
        <f>_xlfn.IFNA(INDEX('Shultis Faw'!$B$2:$B$26,MATCH($C368,'Shultis Faw'!$A$2:$A$26,1))+($C368-INDEX('Shultis Faw'!$A$2:$A$26,MATCH($C368,'Shultis Faw'!$A$2:$A$26,1)))*(INDEX('Shultis Faw'!$B$2:$B$26,MATCH($C368,'Shultis Faw'!$A$2:$A$26,1)+1)-INDEX('Shultis Faw'!$B$2:$B$26,MATCH($C368,'Shultis Faw'!$A$2:$A$26,1)))/(INDEX('Shultis Faw'!$A$2:$A$26,MATCH($C368,'Shultis Faw'!$A$2:$A$26,1)+1)-INDEX('Shultis Faw'!$A$2:$A$26,MATCH($C368,'Shultis Faw'!$A$2:$A$26,1))),$C368*'Shultis Faw'!$B$2/'Shultis Faw'!$A$2)</f>
        <v>-8.452359999999999E-2</v>
      </c>
      <c r="L368" s="83">
        <f>_xlfn.IFNA(INDEX('Shultis Faw'!$E$2:$E$26,MATCH($C368,'Shultis Faw'!$A$2:$A$26,1))+($C368-INDEX('Shultis Faw'!$A$2:$A$26,MATCH($C368,'Shultis Faw'!$A$2:$A$26,1)))*(INDEX('Shultis Faw'!$E$2:$E$26,MATCH($C368,'Shultis Faw'!$A$2:$A$26,1)+1)-INDEX('Shultis Faw'!$E$2:$E$26,MATCH($C368,'Shultis Faw'!$A$2:$A$26,1)))/(INDEX('Shultis Faw'!$A$2:$A$26,MATCH($C368,'Shultis Faw'!$A$2:$A$26,1)+1)-INDEX('Shultis Faw'!$A$2:$A$26,MATCH($C368,'Shultis Faw'!$A$2:$A$26,1))),$C368*'Shultis Faw'!$E$2/'Shultis Faw'!$A$2)</f>
        <v>3.5893919999999996E-2</v>
      </c>
      <c r="M368" s="83">
        <f>_xlfn.IFNA(INDEX('Shultis Faw'!$F$2:$F$26,MATCH($C368,'Shultis Faw'!$A$2:$A$26,1))+($C368-INDEX('Shultis Faw'!$A$2:$A$26,MATCH($C368,'Shultis Faw'!$A$2:$A$26,1)))*(INDEX('Shultis Faw'!$F$2:$F$26,MATCH($C368,'Shultis Faw'!$A$2:$A$26,1)+1)-INDEX('Shultis Faw'!$F$2:$F$26,MATCH($C368,'Shultis Faw'!$A$2:$A$26,1)))/(INDEX('Shultis Faw'!$A$2:$A$26,MATCH($C368,'Shultis Faw'!$A$2:$A$26,1)+1)-INDEX('Shultis Faw'!$A$2:$A$26,MATCH($C368,'Shultis Faw'!$A$2:$A$26,1))),$C368*'Shultis Faw'!$F$2/'Shultis Faw'!$A$2)</f>
        <v>14.26332</v>
      </c>
      <c r="N368" s="83">
        <f>J368*(H368*'Externe blootstelling'!$D$23/2)^K368+L368*(TANH(((H368*'Externe blootstelling'!$D$23)/(2*M368))-2)-TANH(-2))/(1-TANH(-2))</f>
        <v>1.4132788773769283</v>
      </c>
      <c r="O368" s="83">
        <f>IF(N368=1,1+(I368-1)*H368*'Externe blootstelling'!$D$23/2,1+(I368-1)*(N368^(H368*'Externe blootstelling'!$D$23/2)-1)/(N368-1))</f>
        <v>2.1117206487189968</v>
      </c>
      <c r="P368" s="67">
        <f>G368*EXP(-H368*'Externe blootstelling'!$D$23/2)*O368</f>
        <v>1.2527723706890257E-4</v>
      </c>
      <c r="Q368" s="68"/>
    </row>
    <row r="369" spans="1:17" x14ac:dyDescent="0.2">
      <c r="A369" s="217"/>
      <c r="B369" s="64" t="s">
        <v>104</v>
      </c>
      <c r="C369" s="66">
        <v>1.1100000000000001</v>
      </c>
      <c r="D369" s="66">
        <f t="shared" ref="D369:D400" si="26">C369*1000000*1.6E-19</f>
        <v>1.776E-13</v>
      </c>
      <c r="E369" s="66">
        <v>3.0000000000000001E-5</v>
      </c>
      <c r="F369" s="66">
        <f>_xlfn.IFNA(INDEX('hp (pSv cm2)'!$B$2:$B$52,MATCH($C369,'hp (pSv cm2)'!$A$2:$A$52,1))+($C369-INDEX('hp (pSv cm2)'!$A$2:$A$52,MATCH($C369,'hp (pSv cm2)'!$A$2:$A$52,1)))*(INDEX('hp (pSv cm2)'!$B$2:$B$52,MATCH($C369,'hp (pSv cm2)'!$A$2:$A$52,1)+1)-INDEX('hp (pSv cm2)'!$B$2:$B$52,MATCH($C369,'hp (pSv cm2)'!$A$2:$A$52,1)))/(INDEX('hp (pSv cm2)'!$A$2:$A$52,MATCH($C369,'hp (pSv cm2)'!$A$2:$A$52,1)+1)-INDEX('hp (pSv cm2)'!$A$2:$A$52,MATCH($C369,'hp (pSv cm2)'!$A$2:$A$52,1))),$C369*'hp (pSv cm2)'!$B$2/'hp (pSv cm2)'!$A$2)</f>
        <v>4.8486000000000002</v>
      </c>
      <c r="G369" s="67">
        <f t="shared" ref="G369:G400" si="27">F369*E369</f>
        <v>1.45458E-4</v>
      </c>
      <c r="H369" s="83">
        <f>_xlfn.IFNA(0.997*(INDEX('Mass attenuation coefficients'!$B$2:$B$37,MATCH($C369,'Mass attenuation coefficients'!$A$2:$A$37,1))+($C369-INDEX('Mass attenuation coefficients'!$A$2:$A$37,MATCH($C369,'Mass attenuation coefficients'!$A$2:$A$37,1)))*(INDEX('Mass attenuation coefficients'!$B$2:$B$37,MATCH($C369,'Mass attenuation coefficients'!$A$2:$A$37,1)+1)-INDEX('Mass attenuation coefficients'!$B$2:$B$37,MATCH($C369,'Mass attenuation coefficients'!$A$2:$A$37,1)))/(INDEX('Mass attenuation coefficients'!$A$2:$A$37,MATCH($C369,'Mass attenuation coefficients'!$A$2:$A$37,1)+1)-INDEX('Mass attenuation coefficients'!$A$2:$A$37,MATCH($C369,'Mass attenuation coefficients'!$A$2:$A$37,1)))),0.997*$C369*'Mass attenuation coefficients'!$B$2/'Mass attenuation coefficients'!$A$2)</f>
        <v>6.722212679999999E-2</v>
      </c>
      <c r="I369" s="83">
        <f>_xlfn.IFNA(INDEX('Shultis Faw'!$C$2:$C$26,MATCH($C369,'Shultis Faw'!$A$2:$A$26,1))+($C369-INDEX('Shultis Faw'!$A$2:$A$26,MATCH($C369,'Shultis Faw'!$A$2:$A$26,1)))*(INDEX('Shultis Faw'!$C$2:$C$26,MATCH($C369,'Shultis Faw'!$A$2:$A$26,1)+1)-INDEX('Shultis Faw'!$C$2:$C$26,MATCH($C369,'Shultis Faw'!$A$2:$A$26,1)))/(INDEX('Shultis Faw'!$A$2:$A$26,MATCH($C369,'Shultis Faw'!$A$2:$A$26,1)+1)-INDEX('Shultis Faw'!$A$2:$A$26,MATCH($C369,'Shultis Faw'!$A$2:$A$26,1))),$C369*'Shultis Faw'!$C$2/'Shultis Faw'!$A$2)</f>
        <v>2.0669200000000001</v>
      </c>
      <c r="J369" s="83">
        <f>_xlfn.IFNA(INDEX('Shultis Faw'!$D$2:$D$26,MATCH($C369,'Shultis Faw'!$A$2:$A$26,1))+($C369-INDEX('Shultis Faw'!$A$2:$A$26,MATCH($C369,'Shultis Faw'!$A$2:$A$26,1)))*(INDEX('Shultis Faw'!$D$2:$D$26,MATCH($C369,'Shultis Faw'!$A$2:$A$26,1)+1)-INDEX('Shultis Faw'!$D$2:$D$26,MATCH($C369,'Shultis Faw'!$A$2:$A$26,1)))/(INDEX('Shultis Faw'!$A$2:$A$26,MATCH($C369,'Shultis Faw'!$A$2:$A$26,1)+1)-INDEX('Shultis Faw'!$A$2:$A$26,MATCH($C369,'Shultis Faw'!$A$2:$A$26,1))),$C369*'Shultis Faw'!$D$2/'Shultis Faw'!$A$2)</f>
        <v>1.40316</v>
      </c>
      <c r="K369" s="83">
        <f>_xlfn.IFNA(INDEX('Shultis Faw'!$B$2:$B$26,MATCH($C369,'Shultis Faw'!$A$2:$A$26,1))+($C369-INDEX('Shultis Faw'!$A$2:$A$26,MATCH($C369,'Shultis Faw'!$A$2:$A$26,1)))*(INDEX('Shultis Faw'!$B$2:$B$26,MATCH($C369,'Shultis Faw'!$A$2:$A$26,1)+1)-INDEX('Shultis Faw'!$B$2:$B$26,MATCH($C369,'Shultis Faw'!$A$2:$A$26,1)))/(INDEX('Shultis Faw'!$A$2:$A$26,MATCH($C369,'Shultis Faw'!$A$2:$A$26,1)+1)-INDEX('Shultis Faw'!$A$2:$A$26,MATCH($C369,'Shultis Faw'!$A$2:$A$26,1))),$C369*'Shultis Faw'!$B$2/'Shultis Faw'!$A$2)</f>
        <v>-8.2179999999999989E-2</v>
      </c>
      <c r="L369" s="83">
        <f>_xlfn.IFNA(INDEX('Shultis Faw'!$E$2:$E$26,MATCH($C369,'Shultis Faw'!$A$2:$A$26,1))+($C369-INDEX('Shultis Faw'!$A$2:$A$26,MATCH($C369,'Shultis Faw'!$A$2:$A$26,1)))*(INDEX('Shultis Faw'!$E$2:$E$26,MATCH($C369,'Shultis Faw'!$A$2:$A$26,1)+1)-INDEX('Shultis Faw'!$E$2:$E$26,MATCH($C369,'Shultis Faw'!$A$2:$A$26,1)))/(INDEX('Shultis Faw'!$A$2:$A$26,MATCH($C369,'Shultis Faw'!$A$2:$A$26,1)+1)-INDEX('Shultis Faw'!$A$2:$A$26,MATCH($C369,'Shultis Faw'!$A$2:$A$26,1))),$C369*'Shultis Faw'!$E$2/'Shultis Faw'!$A$2)</f>
        <v>3.4895999999999996E-2</v>
      </c>
      <c r="M369" s="83">
        <f>_xlfn.IFNA(INDEX('Shultis Faw'!$F$2:$F$26,MATCH($C369,'Shultis Faw'!$A$2:$A$26,1))+($C369-INDEX('Shultis Faw'!$A$2:$A$26,MATCH($C369,'Shultis Faw'!$A$2:$A$26,1)))*(INDEX('Shultis Faw'!$F$2:$F$26,MATCH($C369,'Shultis Faw'!$A$2:$A$26,1)+1)-INDEX('Shultis Faw'!$F$2:$F$26,MATCH($C369,'Shultis Faw'!$A$2:$A$26,1)))/(INDEX('Shultis Faw'!$A$2:$A$26,MATCH($C369,'Shultis Faw'!$A$2:$A$26,1)+1)-INDEX('Shultis Faw'!$A$2:$A$26,MATCH($C369,'Shultis Faw'!$A$2:$A$26,1))),$C369*'Shultis Faw'!$F$2/'Shultis Faw'!$A$2)</f>
        <v>14.286</v>
      </c>
      <c r="N369" s="83">
        <f>J369*(H369*'Externe blootstelling'!$D$23/2)^K369+L369*(TANH(((H369*'Externe blootstelling'!$D$23)/(2*M369))-2)-TANH(-2))/(1-TANH(-2))</f>
        <v>1.4022984415264528</v>
      </c>
      <c r="O369" s="83">
        <f>IF(N369=1,1+(I369-1)*H369*'Externe blootstelling'!$D$23/2,1+(I369-1)*(N369^(H369*'Externe blootstelling'!$D$23/2)-1)/(N369-1))</f>
        <v>2.0774115917731102</v>
      </c>
      <c r="P369" s="67">
        <f>G369*EXP(-H369*'Externe blootstelling'!$D$23/2)*O369</f>
        <v>1.1024202486512426E-4</v>
      </c>
      <c r="Q369" s="68"/>
    </row>
    <row r="370" spans="1:17" x14ac:dyDescent="0.2">
      <c r="A370" s="217"/>
      <c r="B370" s="64" t="s">
        <v>104</v>
      </c>
      <c r="C370" s="66">
        <v>1.11852</v>
      </c>
      <c r="D370" s="66">
        <f t="shared" si="26"/>
        <v>1.7896319999999998E-13</v>
      </c>
      <c r="E370" s="66">
        <v>1.08E-3</v>
      </c>
      <c r="F370" s="66">
        <f>_xlfn.IFNA(INDEX('hp (pSv cm2)'!$B$2:$B$52,MATCH($C370,'hp (pSv cm2)'!$A$2:$A$52,1))+($C370-INDEX('hp (pSv cm2)'!$A$2:$A$52,MATCH($C370,'hp (pSv cm2)'!$A$2:$A$52,1)))*(INDEX('hp (pSv cm2)'!$B$2:$B$52,MATCH($C370,'hp (pSv cm2)'!$A$2:$A$52,1)+1)-INDEX('hp (pSv cm2)'!$B$2:$B$52,MATCH($C370,'hp (pSv cm2)'!$A$2:$A$52,1)))/(INDEX('hp (pSv cm2)'!$A$2:$A$52,MATCH($C370,'hp (pSv cm2)'!$A$2:$A$52,1)+1)-INDEX('hp (pSv cm2)'!$A$2:$A$52,MATCH($C370,'hp (pSv cm2)'!$A$2:$A$52,1))),$C370*'hp (pSv cm2)'!$B$2/'hp (pSv cm2)'!$A$2)</f>
        <v>4.8763752</v>
      </c>
      <c r="G370" s="67">
        <f t="shared" si="27"/>
        <v>5.2664852160000004E-3</v>
      </c>
      <c r="H370" s="83">
        <f>_xlfn.IFNA(0.997*(INDEX('Mass attenuation coefficients'!$B$2:$B$37,MATCH($C370,'Mass attenuation coefficients'!$A$2:$A$37,1))+($C370-INDEX('Mass attenuation coefficients'!$A$2:$A$37,MATCH($C370,'Mass attenuation coefficients'!$A$2:$A$37,1)))*(INDEX('Mass attenuation coefficients'!$B$2:$B$37,MATCH($C370,'Mass attenuation coefficients'!$A$2:$A$37,1)+1)-INDEX('Mass attenuation coefficients'!$B$2:$B$37,MATCH($C370,'Mass attenuation coefficients'!$A$2:$A$37,1)))/(INDEX('Mass attenuation coefficients'!$A$2:$A$37,MATCH($C370,'Mass attenuation coefficients'!$A$2:$A$37,1)+1)-INDEX('Mass attenuation coefficients'!$A$2:$A$37,MATCH($C370,'Mass attenuation coefficients'!$A$2:$A$37,1)))),0.997*$C370*'Mass attenuation coefficients'!$B$2/'Mass attenuation coefficients'!$A$2)</f>
        <v>6.6967633377600005E-2</v>
      </c>
      <c r="I370" s="83">
        <f>_xlfn.IFNA(INDEX('Shultis Faw'!$C$2:$C$26,MATCH($C370,'Shultis Faw'!$A$2:$A$26,1))+($C370-INDEX('Shultis Faw'!$A$2:$A$26,MATCH($C370,'Shultis Faw'!$A$2:$A$26,1)))*(INDEX('Shultis Faw'!$C$2:$C$26,MATCH($C370,'Shultis Faw'!$A$2:$A$26,1)+1)-INDEX('Shultis Faw'!$C$2:$C$26,MATCH($C370,'Shultis Faw'!$A$2:$A$26,1)))/(INDEX('Shultis Faw'!$A$2:$A$26,MATCH($C370,'Shultis Faw'!$A$2:$A$26,1)+1)-INDEX('Shultis Faw'!$A$2:$A$26,MATCH($C370,'Shultis Faw'!$A$2:$A$26,1))),$C370*'Shultis Faw'!$C$2/'Shultis Faw'!$A$2)</f>
        <v>2.0641254400000002</v>
      </c>
      <c r="J370" s="83">
        <f>_xlfn.IFNA(INDEX('Shultis Faw'!$D$2:$D$26,MATCH($C370,'Shultis Faw'!$A$2:$A$26,1))+($C370-INDEX('Shultis Faw'!$A$2:$A$26,MATCH($C370,'Shultis Faw'!$A$2:$A$26,1)))*(INDEX('Shultis Faw'!$D$2:$D$26,MATCH($C370,'Shultis Faw'!$A$2:$A$26,1)+1)-INDEX('Shultis Faw'!$D$2:$D$26,MATCH($C370,'Shultis Faw'!$A$2:$A$26,1)))/(INDEX('Shultis Faw'!$A$2:$A$26,MATCH($C370,'Shultis Faw'!$A$2:$A$26,1)+1)-INDEX('Shultis Faw'!$A$2:$A$26,MATCH($C370,'Shultis Faw'!$A$2:$A$26,1))),$C370*'Shultis Faw'!$D$2/'Shultis Faw'!$A$2)</f>
        <v>1.4002291200000001</v>
      </c>
      <c r="K370" s="83">
        <f>_xlfn.IFNA(INDEX('Shultis Faw'!$B$2:$B$26,MATCH($C370,'Shultis Faw'!$A$2:$A$26,1))+($C370-INDEX('Shultis Faw'!$A$2:$A$26,MATCH($C370,'Shultis Faw'!$A$2:$A$26,1)))*(INDEX('Shultis Faw'!$B$2:$B$26,MATCH($C370,'Shultis Faw'!$A$2:$A$26,1)+1)-INDEX('Shultis Faw'!$B$2:$B$26,MATCH($C370,'Shultis Faw'!$A$2:$A$26,1)))/(INDEX('Shultis Faw'!$A$2:$A$26,MATCH($C370,'Shultis Faw'!$A$2:$A$26,1)+1)-INDEX('Shultis Faw'!$A$2:$A$26,MATCH($C370,'Shultis Faw'!$A$2:$A$26,1))),$C370*'Shultis Faw'!$B$2/'Shultis Faw'!$A$2)</f>
        <v>-8.1651760000000004E-2</v>
      </c>
      <c r="L370" s="83">
        <f>_xlfn.IFNA(INDEX('Shultis Faw'!$E$2:$E$26,MATCH($C370,'Shultis Faw'!$A$2:$A$26,1))+($C370-INDEX('Shultis Faw'!$A$2:$A$26,MATCH($C370,'Shultis Faw'!$A$2:$A$26,1)))*(INDEX('Shultis Faw'!$E$2:$E$26,MATCH($C370,'Shultis Faw'!$A$2:$A$26,1)+1)-INDEX('Shultis Faw'!$E$2:$E$26,MATCH($C370,'Shultis Faw'!$A$2:$A$26,1)))/(INDEX('Shultis Faw'!$A$2:$A$26,MATCH($C370,'Shultis Faw'!$A$2:$A$26,1)+1)-INDEX('Shultis Faw'!$A$2:$A$26,MATCH($C370,'Shultis Faw'!$A$2:$A$26,1))),$C370*'Shultis Faw'!$E$2/'Shultis Faw'!$A$2)</f>
        <v>3.4671072000000004E-2</v>
      </c>
      <c r="M370" s="83">
        <f>_xlfn.IFNA(INDEX('Shultis Faw'!$F$2:$F$26,MATCH($C370,'Shultis Faw'!$A$2:$A$26,1))+($C370-INDEX('Shultis Faw'!$A$2:$A$26,MATCH($C370,'Shultis Faw'!$A$2:$A$26,1)))*(INDEX('Shultis Faw'!$F$2:$F$26,MATCH($C370,'Shultis Faw'!$A$2:$A$26,1)+1)-INDEX('Shultis Faw'!$F$2:$F$26,MATCH($C370,'Shultis Faw'!$A$2:$A$26,1)))/(INDEX('Shultis Faw'!$A$2:$A$26,MATCH($C370,'Shultis Faw'!$A$2:$A$26,1)+1)-INDEX('Shultis Faw'!$A$2:$A$26,MATCH($C370,'Shultis Faw'!$A$2:$A$26,1))),$C370*'Shultis Faw'!$F$2/'Shultis Faw'!$A$2)</f>
        <v>14.291112</v>
      </c>
      <c r="N370" s="83">
        <f>J370*(H370*'Externe blootstelling'!$D$23/2)^K370+L370*(TANH(((H370*'Externe blootstelling'!$D$23)/(2*M370))-2)-TANH(-2))/(1-TANH(-2))</f>
        <v>1.3998080995747244</v>
      </c>
      <c r="O370" s="83">
        <f>IF(N370=1,1+(I370-1)*H370*'Externe blootstelling'!$D$23/2,1+(I370-1)*(N370^(H370*'Externe blootstelling'!$D$23/2)-1)/(N370-1))</f>
        <v>2.0697868092347003</v>
      </c>
      <c r="P370" s="67">
        <f>G370*EXP(-H370*'Externe blootstelling'!$D$23/2)*O370</f>
        <v>3.9920077854668926E-3</v>
      </c>
      <c r="Q370" s="68"/>
    </row>
    <row r="371" spans="1:17" x14ac:dyDescent="0.2">
      <c r="A371" s="217"/>
      <c r="B371" s="64" t="s">
        <v>104</v>
      </c>
      <c r="C371" s="66">
        <v>1.1242000000000001</v>
      </c>
      <c r="D371" s="66">
        <f t="shared" si="26"/>
        <v>1.7987199999999999E-13</v>
      </c>
      <c r="E371" s="66">
        <v>6.8999999999999997E-5</v>
      </c>
      <c r="F371" s="66">
        <f>_xlfn.IFNA(INDEX('hp (pSv cm2)'!$B$2:$B$52,MATCH($C371,'hp (pSv cm2)'!$A$2:$A$52,1))+($C371-INDEX('hp (pSv cm2)'!$A$2:$A$52,MATCH($C371,'hp (pSv cm2)'!$A$2:$A$52,1)))*(INDEX('hp (pSv cm2)'!$B$2:$B$52,MATCH($C371,'hp (pSv cm2)'!$A$2:$A$52,1)+1)-INDEX('hp (pSv cm2)'!$B$2:$B$52,MATCH($C371,'hp (pSv cm2)'!$A$2:$A$52,1)))/(INDEX('hp (pSv cm2)'!$A$2:$A$52,MATCH($C371,'hp (pSv cm2)'!$A$2:$A$52,1)+1)-INDEX('hp (pSv cm2)'!$A$2:$A$52,MATCH($C371,'hp (pSv cm2)'!$A$2:$A$52,1))),$C371*'hp (pSv cm2)'!$B$2/'hp (pSv cm2)'!$A$2)</f>
        <v>4.8948920000000005</v>
      </c>
      <c r="G371" s="67">
        <f t="shared" si="27"/>
        <v>3.3774754800000004E-4</v>
      </c>
      <c r="H371" s="83">
        <f>_xlfn.IFNA(0.997*(INDEX('Mass attenuation coefficients'!$B$2:$B$37,MATCH($C371,'Mass attenuation coefficients'!$A$2:$A$37,1))+($C371-INDEX('Mass attenuation coefficients'!$A$2:$A$37,MATCH($C371,'Mass attenuation coefficients'!$A$2:$A$37,1)))*(INDEX('Mass attenuation coefficients'!$B$2:$B$37,MATCH($C371,'Mass attenuation coefficients'!$A$2:$A$37,1)+1)-INDEX('Mass attenuation coefficients'!$B$2:$B$37,MATCH($C371,'Mass attenuation coefficients'!$A$2:$A$37,1)))/(INDEX('Mass attenuation coefficients'!$A$2:$A$37,MATCH($C371,'Mass attenuation coefficients'!$A$2:$A$37,1)+1)-INDEX('Mass attenuation coefficients'!$A$2:$A$37,MATCH($C371,'Mass attenuation coefficients'!$A$2:$A$37,1)))),0.997*$C371*'Mass attenuation coefficients'!$B$2/'Mass attenuation coefficients'!$A$2)</f>
        <v>6.6797971095999997E-2</v>
      </c>
      <c r="I371" s="83">
        <f>_xlfn.IFNA(INDEX('Shultis Faw'!$C$2:$C$26,MATCH($C371,'Shultis Faw'!$A$2:$A$26,1))+($C371-INDEX('Shultis Faw'!$A$2:$A$26,MATCH($C371,'Shultis Faw'!$A$2:$A$26,1)))*(INDEX('Shultis Faw'!$C$2:$C$26,MATCH($C371,'Shultis Faw'!$A$2:$A$26,1)+1)-INDEX('Shultis Faw'!$C$2:$C$26,MATCH($C371,'Shultis Faw'!$A$2:$A$26,1)))/(INDEX('Shultis Faw'!$A$2:$A$26,MATCH($C371,'Shultis Faw'!$A$2:$A$26,1)+1)-INDEX('Shultis Faw'!$A$2:$A$26,MATCH($C371,'Shultis Faw'!$A$2:$A$26,1))),$C371*'Shultis Faw'!$C$2/'Shultis Faw'!$A$2)</f>
        <v>2.0622624000000003</v>
      </c>
      <c r="J371" s="83">
        <f>_xlfn.IFNA(INDEX('Shultis Faw'!$D$2:$D$26,MATCH($C371,'Shultis Faw'!$A$2:$A$26,1))+($C371-INDEX('Shultis Faw'!$A$2:$A$26,MATCH($C371,'Shultis Faw'!$A$2:$A$26,1)))*(INDEX('Shultis Faw'!$D$2:$D$26,MATCH($C371,'Shultis Faw'!$A$2:$A$26,1)+1)-INDEX('Shultis Faw'!$D$2:$D$26,MATCH($C371,'Shultis Faw'!$A$2:$A$26,1)))/(INDEX('Shultis Faw'!$A$2:$A$26,MATCH($C371,'Shultis Faw'!$A$2:$A$26,1)+1)-INDEX('Shultis Faw'!$A$2:$A$26,MATCH($C371,'Shultis Faw'!$A$2:$A$26,1))),$C371*'Shultis Faw'!$D$2/'Shultis Faw'!$A$2)</f>
        <v>1.3982752000000001</v>
      </c>
      <c r="K371" s="83">
        <f>_xlfn.IFNA(INDEX('Shultis Faw'!$B$2:$B$26,MATCH($C371,'Shultis Faw'!$A$2:$A$26,1))+($C371-INDEX('Shultis Faw'!$A$2:$A$26,MATCH($C371,'Shultis Faw'!$A$2:$A$26,1)))*(INDEX('Shultis Faw'!$B$2:$B$26,MATCH($C371,'Shultis Faw'!$A$2:$A$26,1)+1)-INDEX('Shultis Faw'!$B$2:$B$26,MATCH($C371,'Shultis Faw'!$A$2:$A$26,1)))/(INDEX('Shultis Faw'!$A$2:$A$26,MATCH($C371,'Shultis Faw'!$A$2:$A$26,1)+1)-INDEX('Shultis Faw'!$A$2:$A$26,MATCH($C371,'Shultis Faw'!$A$2:$A$26,1))),$C371*'Shultis Faw'!$B$2/'Shultis Faw'!$A$2)</f>
        <v>-8.1299599999999986E-2</v>
      </c>
      <c r="L371" s="83">
        <f>_xlfn.IFNA(INDEX('Shultis Faw'!$E$2:$E$26,MATCH($C371,'Shultis Faw'!$A$2:$A$26,1))+($C371-INDEX('Shultis Faw'!$A$2:$A$26,MATCH($C371,'Shultis Faw'!$A$2:$A$26,1)))*(INDEX('Shultis Faw'!$E$2:$E$26,MATCH($C371,'Shultis Faw'!$A$2:$A$26,1)+1)-INDEX('Shultis Faw'!$E$2:$E$26,MATCH($C371,'Shultis Faw'!$A$2:$A$26,1)))/(INDEX('Shultis Faw'!$A$2:$A$26,MATCH($C371,'Shultis Faw'!$A$2:$A$26,1)+1)-INDEX('Shultis Faw'!$A$2:$A$26,MATCH($C371,'Shultis Faw'!$A$2:$A$26,1))),$C371*'Shultis Faw'!$E$2/'Shultis Faw'!$A$2)</f>
        <v>3.4521119999999995E-2</v>
      </c>
      <c r="M371" s="83">
        <f>_xlfn.IFNA(INDEX('Shultis Faw'!$F$2:$F$26,MATCH($C371,'Shultis Faw'!$A$2:$A$26,1))+($C371-INDEX('Shultis Faw'!$A$2:$A$26,MATCH($C371,'Shultis Faw'!$A$2:$A$26,1)))*(INDEX('Shultis Faw'!$F$2:$F$26,MATCH($C371,'Shultis Faw'!$A$2:$A$26,1)+1)-INDEX('Shultis Faw'!$F$2:$F$26,MATCH($C371,'Shultis Faw'!$A$2:$A$26,1)))/(INDEX('Shultis Faw'!$A$2:$A$26,MATCH($C371,'Shultis Faw'!$A$2:$A$26,1)+1)-INDEX('Shultis Faw'!$A$2:$A$26,MATCH($C371,'Shultis Faw'!$A$2:$A$26,1))),$C371*'Shultis Faw'!$F$2/'Shultis Faw'!$A$2)</f>
        <v>14.29452</v>
      </c>
      <c r="N371" s="83">
        <f>J371*(H371*'Externe blootstelling'!$D$23/2)^K371+L371*(TANH(((H371*'Externe blootstelling'!$D$23)/(2*M371))-2)-TANH(-2))/(1-TANH(-2))</f>
        <v>1.3981447279375938</v>
      </c>
      <c r="O371" s="83">
        <f>IF(N371=1,1+(I371-1)*H371*'Externe blootstelling'!$D$23/2,1+(I371-1)*(N371^(H371*'Externe blootstelling'!$D$23/2)-1)/(N371-1))</f>
        <v>2.0647255519412693</v>
      </c>
      <c r="P371" s="67">
        <f>G371*EXP(-H371*'Externe blootstelling'!$D$23/2)*O371</f>
        <v>2.5603815171640321E-4</v>
      </c>
      <c r="Q371" s="68"/>
    </row>
    <row r="372" spans="1:17" x14ac:dyDescent="0.2">
      <c r="A372" s="217"/>
      <c r="B372" s="64" t="s">
        <v>104</v>
      </c>
      <c r="C372" s="66">
        <v>1.128552</v>
      </c>
      <c r="D372" s="66">
        <f t="shared" si="26"/>
        <v>1.8056831999999998E-13</v>
      </c>
      <c r="E372" s="66">
        <v>3.1700000000000001E-3</v>
      </c>
      <c r="F372" s="66">
        <f>_xlfn.IFNA(INDEX('hp (pSv cm2)'!$B$2:$B$52,MATCH($C372,'hp (pSv cm2)'!$A$2:$A$52,1))+($C372-INDEX('hp (pSv cm2)'!$A$2:$A$52,MATCH($C372,'hp (pSv cm2)'!$A$2:$A$52,1)))*(INDEX('hp (pSv cm2)'!$B$2:$B$52,MATCH($C372,'hp (pSv cm2)'!$A$2:$A$52,1)+1)-INDEX('hp (pSv cm2)'!$B$2:$B$52,MATCH($C372,'hp (pSv cm2)'!$A$2:$A$52,1)))/(INDEX('hp (pSv cm2)'!$A$2:$A$52,MATCH($C372,'hp (pSv cm2)'!$A$2:$A$52,1)+1)-INDEX('hp (pSv cm2)'!$A$2:$A$52,MATCH($C372,'hp (pSv cm2)'!$A$2:$A$52,1))),$C372*'hp (pSv cm2)'!$B$2/'hp (pSv cm2)'!$A$2)</f>
        <v>4.9090795200000006</v>
      </c>
      <c r="G372" s="67">
        <f t="shared" si="27"/>
        <v>1.5561782078400001E-2</v>
      </c>
      <c r="H372" s="83">
        <f>_xlfn.IFNA(0.997*(INDEX('Mass attenuation coefficients'!$B$2:$B$37,MATCH($C372,'Mass attenuation coefficients'!$A$2:$A$37,1))+($C372-INDEX('Mass attenuation coefficients'!$A$2:$A$37,MATCH($C372,'Mass attenuation coefficients'!$A$2:$A$37,1)))*(INDEX('Mass attenuation coefficients'!$B$2:$B$37,MATCH($C372,'Mass attenuation coefficients'!$A$2:$A$37,1)+1)-INDEX('Mass attenuation coefficients'!$B$2:$B$37,MATCH($C372,'Mass attenuation coefficients'!$A$2:$A$37,1)))/(INDEX('Mass attenuation coefficients'!$A$2:$A$37,MATCH($C372,'Mass attenuation coefficients'!$A$2:$A$37,1)+1)-INDEX('Mass attenuation coefficients'!$A$2:$A$37,MATCH($C372,'Mass attenuation coefficients'!$A$2:$A$37,1)))),0.997*$C372*'Mass attenuation coefficients'!$B$2/'Mass attenuation coefficients'!$A$2)</f>
        <v>6.6667976333759996E-2</v>
      </c>
      <c r="I372" s="83">
        <f>_xlfn.IFNA(INDEX('Shultis Faw'!$C$2:$C$26,MATCH($C372,'Shultis Faw'!$A$2:$A$26,1))+($C372-INDEX('Shultis Faw'!$A$2:$A$26,MATCH($C372,'Shultis Faw'!$A$2:$A$26,1)))*(INDEX('Shultis Faw'!$C$2:$C$26,MATCH($C372,'Shultis Faw'!$A$2:$A$26,1)+1)-INDEX('Shultis Faw'!$C$2:$C$26,MATCH($C372,'Shultis Faw'!$A$2:$A$26,1)))/(INDEX('Shultis Faw'!$A$2:$A$26,MATCH($C372,'Shultis Faw'!$A$2:$A$26,1)+1)-INDEX('Shultis Faw'!$A$2:$A$26,MATCH($C372,'Shultis Faw'!$A$2:$A$26,1))),$C372*'Shultis Faw'!$C$2/'Shultis Faw'!$A$2)</f>
        <v>2.0608349440000002</v>
      </c>
      <c r="J372" s="83">
        <f>_xlfn.IFNA(INDEX('Shultis Faw'!$D$2:$D$26,MATCH($C372,'Shultis Faw'!$A$2:$A$26,1))+($C372-INDEX('Shultis Faw'!$A$2:$A$26,MATCH($C372,'Shultis Faw'!$A$2:$A$26,1)))*(INDEX('Shultis Faw'!$D$2:$D$26,MATCH($C372,'Shultis Faw'!$A$2:$A$26,1)+1)-INDEX('Shultis Faw'!$D$2:$D$26,MATCH($C372,'Shultis Faw'!$A$2:$A$26,1)))/(INDEX('Shultis Faw'!$A$2:$A$26,MATCH($C372,'Shultis Faw'!$A$2:$A$26,1)+1)-INDEX('Shultis Faw'!$A$2:$A$26,MATCH($C372,'Shultis Faw'!$A$2:$A$26,1))),$C372*'Shultis Faw'!$D$2/'Shultis Faw'!$A$2)</f>
        <v>1.396778112</v>
      </c>
      <c r="K372" s="83">
        <f>_xlfn.IFNA(INDEX('Shultis Faw'!$B$2:$B$26,MATCH($C372,'Shultis Faw'!$A$2:$A$26,1))+($C372-INDEX('Shultis Faw'!$A$2:$A$26,MATCH($C372,'Shultis Faw'!$A$2:$A$26,1)))*(INDEX('Shultis Faw'!$B$2:$B$26,MATCH($C372,'Shultis Faw'!$A$2:$A$26,1)+1)-INDEX('Shultis Faw'!$B$2:$B$26,MATCH($C372,'Shultis Faw'!$A$2:$A$26,1)))/(INDEX('Shultis Faw'!$A$2:$A$26,MATCH($C372,'Shultis Faw'!$A$2:$A$26,1)+1)-INDEX('Shultis Faw'!$A$2:$A$26,MATCH($C372,'Shultis Faw'!$A$2:$A$26,1))),$C372*'Shultis Faw'!$B$2/'Shultis Faw'!$A$2)</f>
        <v>-8.1029775999999998E-2</v>
      </c>
      <c r="L372" s="83">
        <f>_xlfn.IFNA(INDEX('Shultis Faw'!$E$2:$E$26,MATCH($C372,'Shultis Faw'!$A$2:$A$26,1))+($C372-INDEX('Shultis Faw'!$A$2:$A$26,MATCH($C372,'Shultis Faw'!$A$2:$A$26,1)))*(INDEX('Shultis Faw'!$E$2:$E$26,MATCH($C372,'Shultis Faw'!$A$2:$A$26,1)+1)-INDEX('Shultis Faw'!$E$2:$E$26,MATCH($C372,'Shultis Faw'!$A$2:$A$26,1)))/(INDEX('Shultis Faw'!$A$2:$A$26,MATCH($C372,'Shultis Faw'!$A$2:$A$26,1)+1)-INDEX('Shultis Faw'!$A$2:$A$26,MATCH($C372,'Shultis Faw'!$A$2:$A$26,1))),$C372*'Shultis Faw'!$E$2/'Shultis Faw'!$A$2)</f>
        <v>3.44062272E-2</v>
      </c>
      <c r="M372" s="83">
        <f>_xlfn.IFNA(INDEX('Shultis Faw'!$F$2:$F$26,MATCH($C372,'Shultis Faw'!$A$2:$A$26,1))+($C372-INDEX('Shultis Faw'!$A$2:$A$26,MATCH($C372,'Shultis Faw'!$A$2:$A$26,1)))*(INDEX('Shultis Faw'!$F$2:$F$26,MATCH($C372,'Shultis Faw'!$A$2:$A$26,1)+1)-INDEX('Shultis Faw'!$F$2:$F$26,MATCH($C372,'Shultis Faw'!$A$2:$A$26,1)))/(INDEX('Shultis Faw'!$A$2:$A$26,MATCH($C372,'Shultis Faw'!$A$2:$A$26,1)+1)-INDEX('Shultis Faw'!$A$2:$A$26,MATCH($C372,'Shultis Faw'!$A$2:$A$26,1))),$C372*'Shultis Faw'!$F$2/'Shultis Faw'!$A$2)</f>
        <v>14.297131200000001</v>
      </c>
      <c r="N372" s="83">
        <f>J372*(H372*'Externe blootstelling'!$D$23/2)^K372+L372*(TANH(((H372*'Externe blootstelling'!$D$23)/(2*M372))-2)-TANH(-2))/(1-TANH(-2))</f>
        <v>1.3968685557936689</v>
      </c>
      <c r="O372" s="83">
        <f>IF(N372=1,1+(I372-1)*H372*'Externe blootstelling'!$D$23/2,1+(I372-1)*(N372^(H372*'Externe blootstelling'!$D$23/2)-1)/(N372-1))</f>
        <v>2.0608594605624484</v>
      </c>
      <c r="P372" s="67">
        <f>G372*EXP(-H372*'Externe blootstelling'!$D$23/2)*O372</f>
        <v>1.179789948999066E-2</v>
      </c>
      <c r="Q372" s="68"/>
    </row>
    <row r="373" spans="1:17" x14ac:dyDescent="0.2">
      <c r="A373" s="217"/>
      <c r="B373" s="64" t="s">
        <v>104</v>
      </c>
      <c r="C373" s="66">
        <v>1.1360999999999999</v>
      </c>
      <c r="D373" s="66">
        <f t="shared" si="26"/>
        <v>1.81776E-13</v>
      </c>
      <c r="E373" s="66">
        <v>7.0000000000000007E-5</v>
      </c>
      <c r="F373" s="66">
        <f>_xlfn.IFNA(INDEX('hp (pSv cm2)'!$B$2:$B$52,MATCH($C373,'hp (pSv cm2)'!$A$2:$A$52,1))+($C373-INDEX('hp (pSv cm2)'!$A$2:$A$52,MATCH($C373,'hp (pSv cm2)'!$A$2:$A$52,1)))*(INDEX('hp (pSv cm2)'!$B$2:$B$52,MATCH($C373,'hp (pSv cm2)'!$A$2:$A$52,1)+1)-INDEX('hp (pSv cm2)'!$B$2:$B$52,MATCH($C373,'hp (pSv cm2)'!$A$2:$A$52,1)))/(INDEX('hp (pSv cm2)'!$A$2:$A$52,MATCH($C373,'hp (pSv cm2)'!$A$2:$A$52,1)+1)-INDEX('hp (pSv cm2)'!$A$2:$A$52,MATCH($C373,'hp (pSv cm2)'!$A$2:$A$52,1))),$C373*'hp (pSv cm2)'!$B$2/'hp (pSv cm2)'!$A$2)</f>
        <v>4.9336859999999998</v>
      </c>
      <c r="G373" s="67">
        <f t="shared" si="27"/>
        <v>3.4535802000000001E-4</v>
      </c>
      <c r="H373" s="83">
        <f>_xlfn.IFNA(0.997*(INDEX('Mass attenuation coefficients'!$B$2:$B$37,MATCH($C373,'Mass attenuation coefficients'!$A$2:$A$37,1))+($C373-INDEX('Mass attenuation coefficients'!$A$2:$A$37,MATCH($C373,'Mass attenuation coefficients'!$A$2:$A$37,1)))*(INDEX('Mass attenuation coefficients'!$B$2:$B$37,MATCH($C373,'Mass attenuation coefficients'!$A$2:$A$37,1)+1)-INDEX('Mass attenuation coefficients'!$B$2:$B$37,MATCH($C373,'Mass attenuation coefficients'!$A$2:$A$37,1)))/(INDEX('Mass attenuation coefficients'!$A$2:$A$37,MATCH($C373,'Mass attenuation coefficients'!$A$2:$A$37,1)+1)-INDEX('Mass attenuation coefficients'!$A$2:$A$37,MATCH($C373,'Mass attenuation coefficients'!$A$2:$A$37,1)))),0.997*$C373*'Mass attenuation coefficients'!$B$2/'Mass attenuation coefficients'!$A$2)</f>
        <v>6.644251666800001E-2</v>
      </c>
      <c r="I373" s="83">
        <f>_xlfn.IFNA(INDEX('Shultis Faw'!$C$2:$C$26,MATCH($C373,'Shultis Faw'!$A$2:$A$26,1))+($C373-INDEX('Shultis Faw'!$A$2:$A$26,MATCH($C373,'Shultis Faw'!$A$2:$A$26,1)))*(INDEX('Shultis Faw'!$C$2:$C$26,MATCH($C373,'Shultis Faw'!$A$2:$A$26,1)+1)-INDEX('Shultis Faw'!$C$2:$C$26,MATCH($C373,'Shultis Faw'!$A$2:$A$26,1)))/(INDEX('Shultis Faw'!$A$2:$A$26,MATCH($C373,'Shultis Faw'!$A$2:$A$26,1)+1)-INDEX('Shultis Faw'!$A$2:$A$26,MATCH($C373,'Shultis Faw'!$A$2:$A$26,1))),$C373*'Shultis Faw'!$C$2/'Shultis Faw'!$A$2)</f>
        <v>2.0583592000000004</v>
      </c>
      <c r="J373" s="83">
        <f>_xlfn.IFNA(INDEX('Shultis Faw'!$D$2:$D$26,MATCH($C373,'Shultis Faw'!$A$2:$A$26,1))+($C373-INDEX('Shultis Faw'!$A$2:$A$26,MATCH($C373,'Shultis Faw'!$A$2:$A$26,1)))*(INDEX('Shultis Faw'!$D$2:$D$26,MATCH($C373,'Shultis Faw'!$A$2:$A$26,1)+1)-INDEX('Shultis Faw'!$D$2:$D$26,MATCH($C373,'Shultis Faw'!$A$2:$A$26,1)))/(INDEX('Shultis Faw'!$A$2:$A$26,MATCH($C373,'Shultis Faw'!$A$2:$A$26,1)+1)-INDEX('Shultis Faw'!$A$2:$A$26,MATCH($C373,'Shultis Faw'!$A$2:$A$26,1))),$C373*'Shultis Faw'!$D$2/'Shultis Faw'!$A$2)</f>
        <v>1.3941816</v>
      </c>
      <c r="K373" s="83">
        <f>_xlfn.IFNA(INDEX('Shultis Faw'!$B$2:$B$26,MATCH($C373,'Shultis Faw'!$A$2:$A$26,1))+($C373-INDEX('Shultis Faw'!$A$2:$A$26,MATCH($C373,'Shultis Faw'!$A$2:$A$26,1)))*(INDEX('Shultis Faw'!$B$2:$B$26,MATCH($C373,'Shultis Faw'!$A$2:$A$26,1)+1)-INDEX('Shultis Faw'!$B$2:$B$26,MATCH($C373,'Shultis Faw'!$A$2:$A$26,1)))/(INDEX('Shultis Faw'!$A$2:$A$26,MATCH($C373,'Shultis Faw'!$A$2:$A$26,1)+1)-INDEX('Shultis Faw'!$A$2:$A$26,MATCH($C373,'Shultis Faw'!$A$2:$A$26,1))),$C373*'Shultis Faw'!$B$2/'Shultis Faw'!$A$2)</f>
        <v>-8.0561800000000003E-2</v>
      </c>
      <c r="L373" s="83">
        <f>_xlfn.IFNA(INDEX('Shultis Faw'!$E$2:$E$26,MATCH($C373,'Shultis Faw'!$A$2:$A$26,1))+($C373-INDEX('Shultis Faw'!$A$2:$A$26,MATCH($C373,'Shultis Faw'!$A$2:$A$26,1)))*(INDEX('Shultis Faw'!$E$2:$E$26,MATCH($C373,'Shultis Faw'!$A$2:$A$26,1)+1)-INDEX('Shultis Faw'!$E$2:$E$26,MATCH($C373,'Shultis Faw'!$A$2:$A$26,1)))/(INDEX('Shultis Faw'!$A$2:$A$26,MATCH($C373,'Shultis Faw'!$A$2:$A$26,1)+1)-INDEX('Shultis Faw'!$A$2:$A$26,MATCH($C373,'Shultis Faw'!$A$2:$A$26,1))),$C373*'Shultis Faw'!$E$2/'Shultis Faw'!$A$2)</f>
        <v>3.4206960000000002E-2</v>
      </c>
      <c r="M373" s="83">
        <f>_xlfn.IFNA(INDEX('Shultis Faw'!$F$2:$F$26,MATCH($C373,'Shultis Faw'!$A$2:$A$26,1))+($C373-INDEX('Shultis Faw'!$A$2:$A$26,MATCH($C373,'Shultis Faw'!$A$2:$A$26,1)))*(INDEX('Shultis Faw'!$F$2:$F$26,MATCH($C373,'Shultis Faw'!$A$2:$A$26,1)+1)-INDEX('Shultis Faw'!$F$2:$F$26,MATCH($C373,'Shultis Faw'!$A$2:$A$26,1)))/(INDEX('Shultis Faw'!$A$2:$A$26,MATCH($C373,'Shultis Faw'!$A$2:$A$26,1)+1)-INDEX('Shultis Faw'!$A$2:$A$26,MATCH($C373,'Shultis Faw'!$A$2:$A$26,1))),$C373*'Shultis Faw'!$F$2/'Shultis Faw'!$A$2)</f>
        <v>14.30166</v>
      </c>
      <c r="N373" s="83">
        <f>J373*(H373*'Externe blootstelling'!$D$23/2)^K373+L373*(TANH(((H373*'Externe blootstelling'!$D$23)/(2*M373))-2)-TANH(-2))/(1-TANH(-2))</f>
        <v>1.3946516946196701</v>
      </c>
      <c r="O373" s="83">
        <f>IF(N373=1,1+(I373-1)*H373*'Externe blootstelling'!$D$23/2,1+(I373-1)*(N373^(H373*'Externe blootstelling'!$D$23/2)-1)/(N373-1))</f>
        <v>2.0541784649495369</v>
      </c>
      <c r="P373" s="67">
        <f>G373*EXP(-H373*'Externe blootstelling'!$D$23/2)*O373</f>
        <v>2.6186257999709188E-4</v>
      </c>
      <c r="Q373" s="68"/>
    </row>
    <row r="374" spans="1:17" x14ac:dyDescent="0.2">
      <c r="A374" s="217"/>
      <c r="B374" s="64" t="s">
        <v>104</v>
      </c>
      <c r="C374" s="66">
        <v>1.1407020000000001</v>
      </c>
      <c r="D374" s="66">
        <f t="shared" si="26"/>
        <v>1.8251231999999998E-13</v>
      </c>
      <c r="E374" s="66">
        <v>2.3499999999999997E-3</v>
      </c>
      <c r="F374" s="66">
        <f>_xlfn.IFNA(INDEX('hp (pSv cm2)'!$B$2:$B$52,MATCH($C374,'hp (pSv cm2)'!$A$2:$A$52,1))+($C374-INDEX('hp (pSv cm2)'!$A$2:$A$52,MATCH($C374,'hp (pSv cm2)'!$A$2:$A$52,1)))*(INDEX('hp (pSv cm2)'!$B$2:$B$52,MATCH($C374,'hp (pSv cm2)'!$A$2:$A$52,1)+1)-INDEX('hp (pSv cm2)'!$B$2:$B$52,MATCH($C374,'hp (pSv cm2)'!$A$2:$A$52,1)))/(INDEX('hp (pSv cm2)'!$A$2:$A$52,MATCH($C374,'hp (pSv cm2)'!$A$2:$A$52,1)+1)-INDEX('hp (pSv cm2)'!$A$2:$A$52,MATCH($C374,'hp (pSv cm2)'!$A$2:$A$52,1))),$C374*'hp (pSv cm2)'!$B$2/'hp (pSv cm2)'!$A$2)</f>
        <v>4.9486885200000001</v>
      </c>
      <c r="G374" s="67">
        <f t="shared" si="27"/>
        <v>1.1629418021999998E-2</v>
      </c>
      <c r="H374" s="83">
        <f>_xlfn.IFNA(0.997*(INDEX('Mass attenuation coefficients'!$B$2:$B$37,MATCH($C374,'Mass attenuation coefficients'!$A$2:$A$37,1))+($C374-INDEX('Mass attenuation coefficients'!$A$2:$A$37,MATCH($C374,'Mass attenuation coefficients'!$A$2:$A$37,1)))*(INDEX('Mass attenuation coefficients'!$B$2:$B$37,MATCH($C374,'Mass attenuation coefficients'!$A$2:$A$37,1)+1)-INDEX('Mass attenuation coefficients'!$B$2:$B$37,MATCH($C374,'Mass attenuation coefficients'!$A$2:$A$37,1)))/(INDEX('Mass attenuation coefficients'!$A$2:$A$37,MATCH($C374,'Mass attenuation coefficients'!$A$2:$A$37,1)+1)-INDEX('Mass attenuation coefficients'!$A$2:$A$37,MATCH($C374,'Mass attenuation coefficients'!$A$2:$A$37,1)))),0.997*$C374*'Mass attenuation coefficients'!$B$2/'Mass attenuation coefficients'!$A$2)</f>
        <v>6.6305054375759995E-2</v>
      </c>
      <c r="I374" s="83">
        <f>_xlfn.IFNA(INDEX('Shultis Faw'!$C$2:$C$26,MATCH($C374,'Shultis Faw'!$A$2:$A$26,1))+($C374-INDEX('Shultis Faw'!$A$2:$A$26,MATCH($C374,'Shultis Faw'!$A$2:$A$26,1)))*(INDEX('Shultis Faw'!$C$2:$C$26,MATCH($C374,'Shultis Faw'!$A$2:$A$26,1)+1)-INDEX('Shultis Faw'!$C$2:$C$26,MATCH($C374,'Shultis Faw'!$A$2:$A$26,1)))/(INDEX('Shultis Faw'!$A$2:$A$26,MATCH($C374,'Shultis Faw'!$A$2:$A$26,1)+1)-INDEX('Shultis Faw'!$A$2:$A$26,MATCH($C374,'Shultis Faw'!$A$2:$A$26,1))),$C374*'Shultis Faw'!$C$2/'Shultis Faw'!$A$2)</f>
        <v>2.056849744</v>
      </c>
      <c r="J374" s="83">
        <f>_xlfn.IFNA(INDEX('Shultis Faw'!$D$2:$D$26,MATCH($C374,'Shultis Faw'!$A$2:$A$26,1))+($C374-INDEX('Shultis Faw'!$A$2:$A$26,MATCH($C374,'Shultis Faw'!$A$2:$A$26,1)))*(INDEX('Shultis Faw'!$D$2:$D$26,MATCH($C374,'Shultis Faw'!$A$2:$A$26,1)+1)-INDEX('Shultis Faw'!$D$2:$D$26,MATCH($C374,'Shultis Faw'!$A$2:$A$26,1)))/(INDEX('Shultis Faw'!$A$2:$A$26,MATCH($C374,'Shultis Faw'!$A$2:$A$26,1)+1)-INDEX('Shultis Faw'!$A$2:$A$26,MATCH($C374,'Shultis Faw'!$A$2:$A$26,1))),$C374*'Shultis Faw'!$D$2/'Shultis Faw'!$A$2)</f>
        <v>1.392598512</v>
      </c>
      <c r="K374" s="83">
        <f>_xlfn.IFNA(INDEX('Shultis Faw'!$B$2:$B$26,MATCH($C374,'Shultis Faw'!$A$2:$A$26,1))+($C374-INDEX('Shultis Faw'!$A$2:$A$26,MATCH($C374,'Shultis Faw'!$A$2:$A$26,1)))*(INDEX('Shultis Faw'!$B$2:$B$26,MATCH($C374,'Shultis Faw'!$A$2:$A$26,1)+1)-INDEX('Shultis Faw'!$B$2:$B$26,MATCH($C374,'Shultis Faw'!$A$2:$A$26,1)))/(INDEX('Shultis Faw'!$A$2:$A$26,MATCH($C374,'Shultis Faw'!$A$2:$A$26,1)+1)-INDEX('Shultis Faw'!$A$2:$A$26,MATCH($C374,'Shultis Faw'!$A$2:$A$26,1))),$C374*'Shultis Faw'!$B$2/'Shultis Faw'!$A$2)</f>
        <v>-8.0276475999999986E-2</v>
      </c>
      <c r="L374" s="83">
        <f>_xlfn.IFNA(INDEX('Shultis Faw'!$E$2:$E$26,MATCH($C374,'Shultis Faw'!$A$2:$A$26,1))+($C374-INDEX('Shultis Faw'!$A$2:$A$26,MATCH($C374,'Shultis Faw'!$A$2:$A$26,1)))*(INDEX('Shultis Faw'!$E$2:$E$26,MATCH($C374,'Shultis Faw'!$A$2:$A$26,1)+1)-INDEX('Shultis Faw'!$E$2:$E$26,MATCH($C374,'Shultis Faw'!$A$2:$A$26,1)))/(INDEX('Shultis Faw'!$A$2:$A$26,MATCH($C374,'Shultis Faw'!$A$2:$A$26,1)+1)-INDEX('Shultis Faw'!$A$2:$A$26,MATCH($C374,'Shultis Faw'!$A$2:$A$26,1))),$C374*'Shultis Faw'!$E$2/'Shultis Faw'!$A$2)</f>
        <v>3.4085467199999997E-2</v>
      </c>
      <c r="M374" s="83">
        <f>_xlfn.IFNA(INDEX('Shultis Faw'!$F$2:$F$26,MATCH($C374,'Shultis Faw'!$A$2:$A$26,1))+($C374-INDEX('Shultis Faw'!$A$2:$A$26,MATCH($C374,'Shultis Faw'!$A$2:$A$26,1)))*(INDEX('Shultis Faw'!$F$2:$F$26,MATCH($C374,'Shultis Faw'!$A$2:$A$26,1)+1)-INDEX('Shultis Faw'!$F$2:$F$26,MATCH($C374,'Shultis Faw'!$A$2:$A$26,1)))/(INDEX('Shultis Faw'!$A$2:$A$26,MATCH($C374,'Shultis Faw'!$A$2:$A$26,1)+1)-INDEX('Shultis Faw'!$A$2:$A$26,MATCH($C374,'Shultis Faw'!$A$2:$A$26,1))),$C374*'Shultis Faw'!$F$2/'Shultis Faw'!$A$2)</f>
        <v>14.3044212</v>
      </c>
      <c r="N374" s="83">
        <f>J374*(H374*'Externe blootstelling'!$D$23/2)^K374+L374*(TANH(((H374*'Externe blootstelling'!$D$23)/(2*M374))-2)-TANH(-2))/(1-TANH(-2))</f>
        <v>1.393297900327974</v>
      </c>
      <c r="O374" s="83">
        <f>IF(N374=1,1+(I374-1)*H374*'Externe blootstelling'!$D$23/2,1+(I374-1)*(N374^(H374*'Externe blootstelling'!$D$23/2)-1)/(N374-1))</f>
        <v>2.050120128504505</v>
      </c>
      <c r="P374" s="67">
        <f>G374*EXP(-H374*'Externe blootstelling'!$D$23/2)*O374</f>
        <v>8.8185768246121284E-3</v>
      </c>
      <c r="Q374" s="68"/>
    </row>
    <row r="375" spans="1:17" x14ac:dyDescent="0.2">
      <c r="A375" s="217"/>
      <c r="B375" s="64" t="s">
        <v>104</v>
      </c>
      <c r="C375" s="66">
        <v>1.1531</v>
      </c>
      <c r="D375" s="66">
        <f t="shared" si="26"/>
        <v>1.8449599999999998E-13</v>
      </c>
      <c r="E375" s="66">
        <v>1.0999999999999999E-4</v>
      </c>
      <c r="F375" s="66">
        <f>_xlfn.IFNA(INDEX('hp (pSv cm2)'!$B$2:$B$52,MATCH($C375,'hp (pSv cm2)'!$A$2:$A$52,1))+($C375-INDEX('hp (pSv cm2)'!$A$2:$A$52,MATCH($C375,'hp (pSv cm2)'!$A$2:$A$52,1)))*(INDEX('hp (pSv cm2)'!$B$2:$B$52,MATCH($C375,'hp (pSv cm2)'!$A$2:$A$52,1)+1)-INDEX('hp (pSv cm2)'!$B$2:$B$52,MATCH($C375,'hp (pSv cm2)'!$A$2:$A$52,1)))/(INDEX('hp (pSv cm2)'!$A$2:$A$52,MATCH($C375,'hp (pSv cm2)'!$A$2:$A$52,1)+1)-INDEX('hp (pSv cm2)'!$A$2:$A$52,MATCH($C375,'hp (pSv cm2)'!$A$2:$A$52,1))),$C375*'hp (pSv cm2)'!$B$2/'hp (pSv cm2)'!$A$2)</f>
        <v>4.9891060000000005</v>
      </c>
      <c r="G375" s="67">
        <f t="shared" si="27"/>
        <v>5.4880165999999998E-4</v>
      </c>
      <c r="H375" s="83">
        <f>_xlfn.IFNA(0.997*(INDEX('Mass attenuation coefficients'!$B$2:$B$37,MATCH($C375,'Mass attenuation coefficients'!$A$2:$A$37,1))+($C375-INDEX('Mass attenuation coefficients'!$A$2:$A$37,MATCH($C375,'Mass attenuation coefficients'!$A$2:$A$37,1)))*(INDEX('Mass attenuation coefficients'!$B$2:$B$37,MATCH($C375,'Mass attenuation coefficients'!$A$2:$A$37,1)+1)-INDEX('Mass attenuation coefficients'!$B$2:$B$37,MATCH($C375,'Mass attenuation coefficients'!$A$2:$A$37,1)))/(INDEX('Mass attenuation coefficients'!$A$2:$A$37,MATCH($C375,'Mass attenuation coefficients'!$A$2:$A$37,1)+1)-INDEX('Mass attenuation coefficients'!$A$2:$A$37,MATCH($C375,'Mass attenuation coefficients'!$A$2:$A$37,1)))),0.997*$C375*'Mass attenuation coefficients'!$B$2/'Mass attenuation coefficients'!$A$2)</f>
        <v>6.5934724627999999E-2</v>
      </c>
      <c r="I375" s="83">
        <f>_xlfn.IFNA(INDEX('Shultis Faw'!$C$2:$C$26,MATCH($C375,'Shultis Faw'!$A$2:$A$26,1))+($C375-INDEX('Shultis Faw'!$A$2:$A$26,MATCH($C375,'Shultis Faw'!$A$2:$A$26,1)))*(INDEX('Shultis Faw'!$C$2:$C$26,MATCH($C375,'Shultis Faw'!$A$2:$A$26,1)+1)-INDEX('Shultis Faw'!$C$2:$C$26,MATCH($C375,'Shultis Faw'!$A$2:$A$26,1)))/(INDEX('Shultis Faw'!$A$2:$A$26,MATCH($C375,'Shultis Faw'!$A$2:$A$26,1)+1)-INDEX('Shultis Faw'!$A$2:$A$26,MATCH($C375,'Shultis Faw'!$A$2:$A$26,1))),$C375*'Shultis Faw'!$C$2/'Shultis Faw'!$A$2)</f>
        <v>2.0527832000000004</v>
      </c>
      <c r="J375" s="83">
        <f>_xlfn.IFNA(INDEX('Shultis Faw'!$D$2:$D$26,MATCH($C375,'Shultis Faw'!$A$2:$A$26,1))+($C375-INDEX('Shultis Faw'!$A$2:$A$26,MATCH($C375,'Shultis Faw'!$A$2:$A$26,1)))*(INDEX('Shultis Faw'!$D$2:$D$26,MATCH($C375,'Shultis Faw'!$A$2:$A$26,1)+1)-INDEX('Shultis Faw'!$D$2:$D$26,MATCH($C375,'Shultis Faw'!$A$2:$A$26,1)))/(INDEX('Shultis Faw'!$A$2:$A$26,MATCH($C375,'Shultis Faw'!$A$2:$A$26,1)+1)-INDEX('Shultis Faw'!$A$2:$A$26,MATCH($C375,'Shultis Faw'!$A$2:$A$26,1))),$C375*'Shultis Faw'!$D$2/'Shultis Faw'!$A$2)</f>
        <v>1.3883335999999999</v>
      </c>
      <c r="K375" s="83">
        <f>_xlfn.IFNA(INDEX('Shultis Faw'!$B$2:$B$26,MATCH($C375,'Shultis Faw'!$A$2:$A$26,1))+($C375-INDEX('Shultis Faw'!$A$2:$A$26,MATCH($C375,'Shultis Faw'!$A$2:$A$26,1)))*(INDEX('Shultis Faw'!$B$2:$B$26,MATCH($C375,'Shultis Faw'!$A$2:$A$26,1)+1)-INDEX('Shultis Faw'!$B$2:$B$26,MATCH($C375,'Shultis Faw'!$A$2:$A$26,1)))/(INDEX('Shultis Faw'!$A$2:$A$26,MATCH($C375,'Shultis Faw'!$A$2:$A$26,1)+1)-INDEX('Shultis Faw'!$A$2:$A$26,MATCH($C375,'Shultis Faw'!$A$2:$A$26,1))),$C375*'Shultis Faw'!$B$2/'Shultis Faw'!$A$2)</f>
        <v>-7.950779999999999E-2</v>
      </c>
      <c r="L375" s="83">
        <f>_xlfn.IFNA(INDEX('Shultis Faw'!$E$2:$E$26,MATCH($C375,'Shultis Faw'!$A$2:$A$26,1))+($C375-INDEX('Shultis Faw'!$A$2:$A$26,MATCH($C375,'Shultis Faw'!$A$2:$A$26,1)))*(INDEX('Shultis Faw'!$E$2:$E$26,MATCH($C375,'Shultis Faw'!$A$2:$A$26,1)+1)-INDEX('Shultis Faw'!$E$2:$E$26,MATCH($C375,'Shultis Faw'!$A$2:$A$26,1)))/(INDEX('Shultis Faw'!$A$2:$A$26,MATCH($C375,'Shultis Faw'!$A$2:$A$26,1)+1)-INDEX('Shultis Faw'!$A$2:$A$26,MATCH($C375,'Shultis Faw'!$A$2:$A$26,1))),$C375*'Shultis Faw'!$E$2/'Shultis Faw'!$A$2)</f>
        <v>3.3758160000000002E-2</v>
      </c>
      <c r="M375" s="83">
        <f>_xlfn.IFNA(INDEX('Shultis Faw'!$F$2:$F$26,MATCH($C375,'Shultis Faw'!$A$2:$A$26,1))+($C375-INDEX('Shultis Faw'!$A$2:$A$26,MATCH($C375,'Shultis Faw'!$A$2:$A$26,1)))*(INDEX('Shultis Faw'!$F$2:$F$26,MATCH($C375,'Shultis Faw'!$A$2:$A$26,1)+1)-INDEX('Shultis Faw'!$F$2:$F$26,MATCH($C375,'Shultis Faw'!$A$2:$A$26,1)))/(INDEX('Shultis Faw'!$A$2:$A$26,MATCH($C375,'Shultis Faw'!$A$2:$A$26,1)+1)-INDEX('Shultis Faw'!$A$2:$A$26,MATCH($C375,'Shultis Faw'!$A$2:$A$26,1))),$C375*'Shultis Faw'!$F$2/'Shultis Faw'!$A$2)</f>
        <v>14.311860000000001</v>
      </c>
      <c r="N375" s="83">
        <f>J375*(H375*'Externe blootstelling'!$D$23/2)^K375+L375*(TANH(((H375*'Externe blootstelling'!$D$23)/(2*M375))-2)-TANH(-2))/(1-TANH(-2))</f>
        <v>1.3896425052621513</v>
      </c>
      <c r="O375" s="83">
        <f>IF(N375=1,1+(I375-1)*H375*'Externe blootstelling'!$D$23/2,1+(I375-1)*(N375^(H375*'Externe blootstelling'!$D$23/2)-1)/(N375-1))</f>
        <v>2.0392432604330608</v>
      </c>
      <c r="P375" s="67">
        <f>G375*EXP(-H375*'Externe blootstelling'!$D$23/2)*O375</f>
        <v>4.1625373741836514E-4</v>
      </c>
      <c r="Q375" s="68"/>
    </row>
    <row r="376" spans="1:17" x14ac:dyDescent="0.2">
      <c r="A376" s="217"/>
      <c r="B376" s="64" t="s">
        <v>104</v>
      </c>
      <c r="C376" s="66">
        <v>1.1603599999999998</v>
      </c>
      <c r="D376" s="66">
        <f t="shared" si="26"/>
        <v>1.8565759999999994E-13</v>
      </c>
      <c r="E376" s="66">
        <v>4.3599999999999997E-4</v>
      </c>
      <c r="F376" s="66">
        <f>_xlfn.IFNA(INDEX('hp (pSv cm2)'!$B$2:$B$52,MATCH($C376,'hp (pSv cm2)'!$A$2:$A$52,1))+($C376-INDEX('hp (pSv cm2)'!$A$2:$A$52,MATCH($C376,'hp (pSv cm2)'!$A$2:$A$52,1)))*(INDEX('hp (pSv cm2)'!$B$2:$B$52,MATCH($C376,'hp (pSv cm2)'!$A$2:$A$52,1)+1)-INDEX('hp (pSv cm2)'!$B$2:$B$52,MATCH($C376,'hp (pSv cm2)'!$A$2:$A$52,1)))/(INDEX('hp (pSv cm2)'!$A$2:$A$52,MATCH($C376,'hp (pSv cm2)'!$A$2:$A$52,1)+1)-INDEX('hp (pSv cm2)'!$A$2:$A$52,MATCH($C376,'hp (pSv cm2)'!$A$2:$A$52,1))),$C376*'hp (pSv cm2)'!$B$2/'hp (pSv cm2)'!$A$2)</f>
        <v>5.0127735999999992</v>
      </c>
      <c r="G376" s="67">
        <f t="shared" si="27"/>
        <v>2.1855692895999994E-3</v>
      </c>
      <c r="H376" s="83">
        <f>_xlfn.IFNA(0.997*(INDEX('Mass attenuation coefficients'!$B$2:$B$37,MATCH($C376,'Mass attenuation coefficients'!$A$2:$A$37,1))+($C376-INDEX('Mass attenuation coefficients'!$A$2:$A$37,MATCH($C376,'Mass attenuation coefficients'!$A$2:$A$37,1)))*(INDEX('Mass attenuation coefficients'!$B$2:$B$37,MATCH($C376,'Mass attenuation coefficients'!$A$2:$A$37,1)+1)-INDEX('Mass attenuation coefficients'!$B$2:$B$37,MATCH($C376,'Mass attenuation coefficients'!$A$2:$A$37,1)))/(INDEX('Mass attenuation coefficients'!$A$2:$A$37,MATCH($C376,'Mass attenuation coefficients'!$A$2:$A$37,1)+1)-INDEX('Mass attenuation coefficients'!$A$2:$A$37,MATCH($C376,'Mass attenuation coefficients'!$A$2:$A$37,1)))),0.997*$C376*'Mass attenuation coefficients'!$B$2/'Mass attenuation coefficients'!$A$2)</f>
        <v>6.5717867556800008E-2</v>
      </c>
      <c r="I376" s="83">
        <f>_xlfn.IFNA(INDEX('Shultis Faw'!$C$2:$C$26,MATCH($C376,'Shultis Faw'!$A$2:$A$26,1))+($C376-INDEX('Shultis Faw'!$A$2:$A$26,MATCH($C376,'Shultis Faw'!$A$2:$A$26,1)))*(INDEX('Shultis Faw'!$C$2:$C$26,MATCH($C376,'Shultis Faw'!$A$2:$A$26,1)+1)-INDEX('Shultis Faw'!$C$2:$C$26,MATCH($C376,'Shultis Faw'!$A$2:$A$26,1)))/(INDEX('Shultis Faw'!$A$2:$A$26,MATCH($C376,'Shultis Faw'!$A$2:$A$26,1)+1)-INDEX('Shultis Faw'!$A$2:$A$26,MATCH($C376,'Shultis Faw'!$A$2:$A$26,1))),$C376*'Shultis Faw'!$C$2/'Shultis Faw'!$A$2)</f>
        <v>2.0504019200000001</v>
      </c>
      <c r="J376" s="83">
        <f>_xlfn.IFNA(INDEX('Shultis Faw'!$D$2:$D$26,MATCH($C376,'Shultis Faw'!$A$2:$A$26,1))+($C376-INDEX('Shultis Faw'!$A$2:$A$26,MATCH($C376,'Shultis Faw'!$A$2:$A$26,1)))*(INDEX('Shultis Faw'!$D$2:$D$26,MATCH($C376,'Shultis Faw'!$A$2:$A$26,1)+1)-INDEX('Shultis Faw'!$D$2:$D$26,MATCH($C376,'Shultis Faw'!$A$2:$A$26,1)))/(INDEX('Shultis Faw'!$A$2:$A$26,MATCH($C376,'Shultis Faw'!$A$2:$A$26,1)+1)-INDEX('Shultis Faw'!$A$2:$A$26,MATCH($C376,'Shultis Faw'!$A$2:$A$26,1))),$C376*'Shultis Faw'!$D$2/'Shultis Faw'!$A$2)</f>
        <v>1.38583616</v>
      </c>
      <c r="K376" s="83">
        <f>_xlfn.IFNA(INDEX('Shultis Faw'!$B$2:$B$26,MATCH($C376,'Shultis Faw'!$A$2:$A$26,1))+($C376-INDEX('Shultis Faw'!$A$2:$A$26,MATCH($C376,'Shultis Faw'!$A$2:$A$26,1)))*(INDEX('Shultis Faw'!$B$2:$B$26,MATCH($C376,'Shultis Faw'!$A$2:$A$26,1)+1)-INDEX('Shultis Faw'!$B$2:$B$26,MATCH($C376,'Shultis Faw'!$A$2:$A$26,1)))/(INDEX('Shultis Faw'!$A$2:$A$26,MATCH($C376,'Shultis Faw'!$A$2:$A$26,1)+1)-INDEX('Shultis Faw'!$A$2:$A$26,MATCH($C376,'Shultis Faw'!$A$2:$A$26,1))),$C376*'Shultis Faw'!$B$2/'Shultis Faw'!$A$2)</f>
        <v>-7.9057680000000005E-2</v>
      </c>
      <c r="L376" s="83">
        <f>_xlfn.IFNA(INDEX('Shultis Faw'!$E$2:$E$26,MATCH($C376,'Shultis Faw'!$A$2:$A$26,1))+($C376-INDEX('Shultis Faw'!$A$2:$A$26,MATCH($C376,'Shultis Faw'!$A$2:$A$26,1)))*(INDEX('Shultis Faw'!$E$2:$E$26,MATCH($C376,'Shultis Faw'!$A$2:$A$26,1)+1)-INDEX('Shultis Faw'!$E$2:$E$26,MATCH($C376,'Shultis Faw'!$A$2:$A$26,1)))/(INDEX('Shultis Faw'!$A$2:$A$26,MATCH($C376,'Shultis Faw'!$A$2:$A$26,1)+1)-INDEX('Shultis Faw'!$A$2:$A$26,MATCH($C376,'Shultis Faw'!$A$2:$A$26,1))),$C376*'Shultis Faw'!$E$2/'Shultis Faw'!$A$2)</f>
        <v>3.3566496000000001E-2</v>
      </c>
      <c r="M376" s="83">
        <f>_xlfn.IFNA(INDEX('Shultis Faw'!$F$2:$F$26,MATCH($C376,'Shultis Faw'!$A$2:$A$26,1))+($C376-INDEX('Shultis Faw'!$A$2:$A$26,MATCH($C376,'Shultis Faw'!$A$2:$A$26,1)))*(INDEX('Shultis Faw'!$F$2:$F$26,MATCH($C376,'Shultis Faw'!$A$2:$A$26,1)+1)-INDEX('Shultis Faw'!$F$2:$F$26,MATCH($C376,'Shultis Faw'!$A$2:$A$26,1)))/(INDEX('Shultis Faw'!$A$2:$A$26,MATCH($C376,'Shultis Faw'!$A$2:$A$26,1)+1)-INDEX('Shultis Faw'!$A$2:$A$26,MATCH($C376,'Shultis Faw'!$A$2:$A$26,1))),$C376*'Shultis Faw'!$F$2/'Shultis Faw'!$A$2)</f>
        <v>14.316216000000001</v>
      </c>
      <c r="N376" s="83">
        <f>J376*(H376*'Externe blootstelling'!$D$23/2)^K376+L376*(TANH(((H376*'Externe blootstelling'!$D$23)/(2*M376))-2)-TANH(-2))/(1-TANH(-2))</f>
        <v>1.3874964261732798</v>
      </c>
      <c r="O376" s="83">
        <f>IF(N376=1,1+(I376-1)*H376*'Externe blootstelling'!$D$23/2,1+(I376-1)*(N376^(H376*'Externe blootstelling'!$D$23/2)-1)/(N376-1))</f>
        <v>2.0329120695205805</v>
      </c>
      <c r="P376" s="67">
        <f>G376*EXP(-H376*'Externe blootstelling'!$D$23/2)*O376</f>
        <v>1.6579428847214026E-3</v>
      </c>
      <c r="Q376" s="68"/>
    </row>
    <row r="377" spans="1:17" x14ac:dyDescent="0.2">
      <c r="A377" s="217"/>
      <c r="B377" s="64" t="s">
        <v>104</v>
      </c>
      <c r="C377" s="66">
        <v>1.1707000000000001</v>
      </c>
      <c r="D377" s="66">
        <f t="shared" si="26"/>
        <v>1.8731199999999998E-13</v>
      </c>
      <c r="E377" s="66">
        <v>3.6000000000000001E-5</v>
      </c>
      <c r="F377" s="66">
        <f>_xlfn.IFNA(INDEX('hp (pSv cm2)'!$B$2:$B$52,MATCH($C377,'hp (pSv cm2)'!$A$2:$A$52,1))+($C377-INDEX('hp (pSv cm2)'!$A$2:$A$52,MATCH($C377,'hp (pSv cm2)'!$A$2:$A$52,1)))*(INDEX('hp (pSv cm2)'!$B$2:$B$52,MATCH($C377,'hp (pSv cm2)'!$A$2:$A$52,1)+1)-INDEX('hp (pSv cm2)'!$B$2:$B$52,MATCH($C377,'hp (pSv cm2)'!$A$2:$A$52,1)))/(INDEX('hp (pSv cm2)'!$A$2:$A$52,MATCH($C377,'hp (pSv cm2)'!$A$2:$A$52,1)+1)-INDEX('hp (pSv cm2)'!$A$2:$A$52,MATCH($C377,'hp (pSv cm2)'!$A$2:$A$52,1))),$C377*'hp (pSv cm2)'!$B$2/'hp (pSv cm2)'!$A$2)</f>
        <v>5.0464820000000001</v>
      </c>
      <c r="G377" s="67">
        <f t="shared" si="27"/>
        <v>1.8167335200000001E-4</v>
      </c>
      <c r="H377" s="83">
        <f>_xlfn.IFNA(0.997*(INDEX('Mass attenuation coefficients'!$B$2:$B$37,MATCH($C377,'Mass attenuation coefficients'!$A$2:$A$37,1))+($C377-INDEX('Mass attenuation coefficients'!$A$2:$A$37,MATCH($C377,'Mass attenuation coefficients'!$A$2:$A$37,1)))*(INDEX('Mass attenuation coefficients'!$B$2:$B$37,MATCH($C377,'Mass attenuation coefficients'!$A$2:$A$37,1)+1)-INDEX('Mass attenuation coefficients'!$B$2:$B$37,MATCH($C377,'Mass attenuation coefficients'!$A$2:$A$37,1)))/(INDEX('Mass attenuation coefficients'!$A$2:$A$37,MATCH($C377,'Mass attenuation coefficients'!$A$2:$A$37,1)+1)-INDEX('Mass attenuation coefficients'!$A$2:$A$37,MATCH($C377,'Mass attenuation coefficients'!$A$2:$A$37,1)))),0.997*$C377*'Mass attenuation coefficients'!$B$2/'Mass attenuation coefficients'!$A$2)</f>
        <v>6.5409010515999996E-2</v>
      </c>
      <c r="I377" s="83">
        <f>_xlfn.IFNA(INDEX('Shultis Faw'!$C$2:$C$26,MATCH($C377,'Shultis Faw'!$A$2:$A$26,1))+($C377-INDEX('Shultis Faw'!$A$2:$A$26,MATCH($C377,'Shultis Faw'!$A$2:$A$26,1)))*(INDEX('Shultis Faw'!$C$2:$C$26,MATCH($C377,'Shultis Faw'!$A$2:$A$26,1)+1)-INDEX('Shultis Faw'!$C$2:$C$26,MATCH($C377,'Shultis Faw'!$A$2:$A$26,1)))/(INDEX('Shultis Faw'!$A$2:$A$26,MATCH($C377,'Shultis Faw'!$A$2:$A$26,1)+1)-INDEX('Shultis Faw'!$A$2:$A$26,MATCH($C377,'Shultis Faw'!$A$2:$A$26,1))),$C377*'Shultis Faw'!$C$2/'Shultis Faw'!$A$2)</f>
        <v>2.0470104</v>
      </c>
      <c r="J377" s="83">
        <f>_xlfn.IFNA(INDEX('Shultis Faw'!$D$2:$D$26,MATCH($C377,'Shultis Faw'!$A$2:$A$26,1))+($C377-INDEX('Shultis Faw'!$A$2:$A$26,MATCH($C377,'Shultis Faw'!$A$2:$A$26,1)))*(INDEX('Shultis Faw'!$D$2:$D$26,MATCH($C377,'Shultis Faw'!$A$2:$A$26,1)+1)-INDEX('Shultis Faw'!$D$2:$D$26,MATCH($C377,'Shultis Faw'!$A$2:$A$26,1)))/(INDEX('Shultis Faw'!$A$2:$A$26,MATCH($C377,'Shultis Faw'!$A$2:$A$26,1)+1)-INDEX('Shultis Faw'!$A$2:$A$26,MATCH($C377,'Shultis Faw'!$A$2:$A$26,1))),$C377*'Shultis Faw'!$D$2/'Shultis Faw'!$A$2)</f>
        <v>1.3822791999999999</v>
      </c>
      <c r="K377" s="83">
        <f>_xlfn.IFNA(INDEX('Shultis Faw'!$B$2:$B$26,MATCH($C377,'Shultis Faw'!$A$2:$A$26,1))+($C377-INDEX('Shultis Faw'!$A$2:$A$26,MATCH($C377,'Shultis Faw'!$A$2:$A$26,1)))*(INDEX('Shultis Faw'!$B$2:$B$26,MATCH($C377,'Shultis Faw'!$A$2:$A$26,1)+1)-INDEX('Shultis Faw'!$B$2:$B$26,MATCH($C377,'Shultis Faw'!$A$2:$A$26,1)))/(INDEX('Shultis Faw'!$A$2:$A$26,MATCH($C377,'Shultis Faw'!$A$2:$A$26,1)+1)-INDEX('Shultis Faw'!$A$2:$A$26,MATCH($C377,'Shultis Faw'!$A$2:$A$26,1))),$C377*'Shultis Faw'!$B$2/'Shultis Faw'!$A$2)</f>
        <v>-7.8416599999999989E-2</v>
      </c>
      <c r="L377" s="83">
        <f>_xlfn.IFNA(INDEX('Shultis Faw'!$E$2:$E$26,MATCH($C377,'Shultis Faw'!$A$2:$A$26,1))+($C377-INDEX('Shultis Faw'!$A$2:$A$26,MATCH($C377,'Shultis Faw'!$A$2:$A$26,1)))*(INDEX('Shultis Faw'!$E$2:$E$26,MATCH($C377,'Shultis Faw'!$A$2:$A$26,1)+1)-INDEX('Shultis Faw'!$E$2:$E$26,MATCH($C377,'Shultis Faw'!$A$2:$A$26,1)))/(INDEX('Shultis Faw'!$A$2:$A$26,MATCH($C377,'Shultis Faw'!$A$2:$A$26,1)+1)-INDEX('Shultis Faw'!$A$2:$A$26,MATCH($C377,'Shultis Faw'!$A$2:$A$26,1))),$C377*'Shultis Faw'!$E$2/'Shultis Faw'!$A$2)</f>
        <v>3.329352E-2</v>
      </c>
      <c r="M377" s="83">
        <f>_xlfn.IFNA(INDEX('Shultis Faw'!$F$2:$F$26,MATCH($C377,'Shultis Faw'!$A$2:$A$26,1))+($C377-INDEX('Shultis Faw'!$A$2:$A$26,MATCH($C377,'Shultis Faw'!$A$2:$A$26,1)))*(INDEX('Shultis Faw'!$F$2:$F$26,MATCH($C377,'Shultis Faw'!$A$2:$A$26,1)+1)-INDEX('Shultis Faw'!$F$2:$F$26,MATCH($C377,'Shultis Faw'!$A$2:$A$26,1)))/(INDEX('Shultis Faw'!$A$2:$A$26,MATCH($C377,'Shultis Faw'!$A$2:$A$26,1)+1)-INDEX('Shultis Faw'!$A$2:$A$26,MATCH($C377,'Shultis Faw'!$A$2:$A$26,1))),$C377*'Shultis Faw'!$F$2/'Shultis Faw'!$A$2)</f>
        <v>14.322420000000001</v>
      </c>
      <c r="N377" s="83">
        <f>J377*(H377*'Externe blootstelling'!$D$23/2)^K377+L377*(TANH(((H377*'Externe blootstelling'!$D$23)/(2*M377))-2)-TANH(-2))/(1-TANH(-2))</f>
        <v>1.3844328022295811</v>
      </c>
      <c r="O377" s="83">
        <f>IF(N377=1,1+(I377-1)*H377*'Externe blootstelling'!$D$23/2,1+(I377-1)*(N377^(H377*'Externe blootstelling'!$D$23/2)-1)/(N377-1))</f>
        <v>2.0239431842104567</v>
      </c>
      <c r="P377" s="67">
        <f>G377*EXP(-H377*'Externe blootstelling'!$D$23/2)*O377</f>
        <v>1.3784402985918043E-4</v>
      </c>
      <c r="Q377" s="68"/>
    </row>
    <row r="378" spans="1:17" x14ac:dyDescent="0.2">
      <c r="A378" s="217"/>
      <c r="B378" s="64" t="s">
        <v>104</v>
      </c>
      <c r="C378" s="66">
        <v>1.18834</v>
      </c>
      <c r="D378" s="66">
        <f t="shared" si="26"/>
        <v>1.9013439999999998E-13</v>
      </c>
      <c r="E378" s="66">
        <v>9.2999999999999995E-4</v>
      </c>
      <c r="F378" s="66">
        <f>_xlfn.IFNA(INDEX('hp (pSv cm2)'!$B$2:$B$52,MATCH($C378,'hp (pSv cm2)'!$A$2:$A$52,1))+($C378-INDEX('hp (pSv cm2)'!$A$2:$A$52,MATCH($C378,'hp (pSv cm2)'!$A$2:$A$52,1)))*(INDEX('hp (pSv cm2)'!$B$2:$B$52,MATCH($C378,'hp (pSv cm2)'!$A$2:$A$52,1)+1)-INDEX('hp (pSv cm2)'!$B$2:$B$52,MATCH($C378,'hp (pSv cm2)'!$A$2:$A$52,1)))/(INDEX('hp (pSv cm2)'!$A$2:$A$52,MATCH($C378,'hp (pSv cm2)'!$A$2:$A$52,1)+1)-INDEX('hp (pSv cm2)'!$A$2:$A$52,MATCH($C378,'hp (pSv cm2)'!$A$2:$A$52,1))),$C378*'hp (pSv cm2)'!$B$2/'hp (pSv cm2)'!$A$2)</f>
        <v>5.1039884000000004</v>
      </c>
      <c r="G378" s="67">
        <f t="shared" si="27"/>
        <v>4.746709212E-3</v>
      </c>
      <c r="H378" s="83">
        <f>_xlfn.IFNA(0.997*(INDEX('Mass attenuation coefficients'!$B$2:$B$37,MATCH($C378,'Mass attenuation coefficients'!$A$2:$A$37,1))+($C378-INDEX('Mass attenuation coefficients'!$A$2:$A$37,MATCH($C378,'Mass attenuation coefficients'!$A$2:$A$37,1)))*(INDEX('Mass attenuation coefficients'!$B$2:$B$37,MATCH($C378,'Mass attenuation coefficients'!$A$2:$A$37,1)+1)-INDEX('Mass attenuation coefficients'!$B$2:$B$37,MATCH($C378,'Mass attenuation coefficients'!$A$2:$A$37,1)))/(INDEX('Mass attenuation coefficients'!$A$2:$A$37,MATCH($C378,'Mass attenuation coefficients'!$A$2:$A$37,1)+1)-INDEX('Mass attenuation coefficients'!$A$2:$A$37,MATCH($C378,'Mass attenuation coefficients'!$A$2:$A$37,1)))),0.997*$C378*'Mass attenuation coefficients'!$B$2/'Mass attenuation coefficients'!$A$2)</f>
        <v>6.4882101599199993E-2</v>
      </c>
      <c r="I378" s="83">
        <f>_xlfn.IFNA(INDEX('Shultis Faw'!$C$2:$C$26,MATCH($C378,'Shultis Faw'!$A$2:$A$26,1))+($C378-INDEX('Shultis Faw'!$A$2:$A$26,MATCH($C378,'Shultis Faw'!$A$2:$A$26,1)))*(INDEX('Shultis Faw'!$C$2:$C$26,MATCH($C378,'Shultis Faw'!$A$2:$A$26,1)+1)-INDEX('Shultis Faw'!$C$2:$C$26,MATCH($C378,'Shultis Faw'!$A$2:$A$26,1)))/(INDEX('Shultis Faw'!$A$2:$A$26,MATCH($C378,'Shultis Faw'!$A$2:$A$26,1)+1)-INDEX('Shultis Faw'!$A$2:$A$26,MATCH($C378,'Shultis Faw'!$A$2:$A$26,1))),$C378*'Shultis Faw'!$C$2/'Shultis Faw'!$A$2)</f>
        <v>2.0412244800000003</v>
      </c>
      <c r="J378" s="83">
        <f>_xlfn.IFNA(INDEX('Shultis Faw'!$D$2:$D$26,MATCH($C378,'Shultis Faw'!$A$2:$A$26,1))+($C378-INDEX('Shultis Faw'!$A$2:$A$26,MATCH($C378,'Shultis Faw'!$A$2:$A$26,1)))*(INDEX('Shultis Faw'!$D$2:$D$26,MATCH($C378,'Shultis Faw'!$A$2:$A$26,1)+1)-INDEX('Shultis Faw'!$D$2:$D$26,MATCH($C378,'Shultis Faw'!$A$2:$A$26,1)))/(INDEX('Shultis Faw'!$A$2:$A$26,MATCH($C378,'Shultis Faw'!$A$2:$A$26,1)+1)-INDEX('Shultis Faw'!$A$2:$A$26,MATCH($C378,'Shultis Faw'!$A$2:$A$26,1))),$C378*'Shultis Faw'!$D$2/'Shultis Faw'!$A$2)</f>
        <v>1.3762110400000001</v>
      </c>
      <c r="K378" s="83">
        <f>_xlfn.IFNA(INDEX('Shultis Faw'!$B$2:$B$26,MATCH($C378,'Shultis Faw'!$A$2:$A$26,1))+($C378-INDEX('Shultis Faw'!$A$2:$A$26,MATCH($C378,'Shultis Faw'!$A$2:$A$26,1)))*(INDEX('Shultis Faw'!$B$2:$B$26,MATCH($C378,'Shultis Faw'!$A$2:$A$26,1)+1)-INDEX('Shultis Faw'!$B$2:$B$26,MATCH($C378,'Shultis Faw'!$A$2:$A$26,1)))/(INDEX('Shultis Faw'!$A$2:$A$26,MATCH($C378,'Shultis Faw'!$A$2:$A$26,1)+1)-INDEX('Shultis Faw'!$A$2:$A$26,MATCH($C378,'Shultis Faw'!$A$2:$A$26,1))),$C378*'Shultis Faw'!$B$2/'Shultis Faw'!$A$2)</f>
        <v>-7.7322920000000003E-2</v>
      </c>
      <c r="L378" s="83">
        <f>_xlfn.IFNA(INDEX('Shultis Faw'!$E$2:$E$26,MATCH($C378,'Shultis Faw'!$A$2:$A$26,1))+($C378-INDEX('Shultis Faw'!$A$2:$A$26,MATCH($C378,'Shultis Faw'!$A$2:$A$26,1)))*(INDEX('Shultis Faw'!$E$2:$E$26,MATCH($C378,'Shultis Faw'!$A$2:$A$26,1)+1)-INDEX('Shultis Faw'!$E$2:$E$26,MATCH($C378,'Shultis Faw'!$A$2:$A$26,1)))/(INDEX('Shultis Faw'!$A$2:$A$26,MATCH($C378,'Shultis Faw'!$A$2:$A$26,1)+1)-INDEX('Shultis Faw'!$A$2:$A$26,MATCH($C378,'Shultis Faw'!$A$2:$A$26,1))),$C378*'Shultis Faw'!$E$2/'Shultis Faw'!$A$2)</f>
        <v>3.2827824000000005E-2</v>
      </c>
      <c r="M378" s="83">
        <f>_xlfn.IFNA(INDEX('Shultis Faw'!$F$2:$F$26,MATCH($C378,'Shultis Faw'!$A$2:$A$26,1))+($C378-INDEX('Shultis Faw'!$A$2:$A$26,MATCH($C378,'Shultis Faw'!$A$2:$A$26,1)))*(INDEX('Shultis Faw'!$F$2:$F$26,MATCH($C378,'Shultis Faw'!$A$2:$A$26,1)+1)-INDEX('Shultis Faw'!$F$2:$F$26,MATCH($C378,'Shultis Faw'!$A$2:$A$26,1)))/(INDEX('Shultis Faw'!$A$2:$A$26,MATCH($C378,'Shultis Faw'!$A$2:$A$26,1)+1)-INDEX('Shultis Faw'!$A$2:$A$26,MATCH($C378,'Shultis Faw'!$A$2:$A$26,1))),$C378*'Shultis Faw'!$F$2/'Shultis Faw'!$A$2)</f>
        <v>14.333004000000001</v>
      </c>
      <c r="N378" s="83">
        <f>J378*(H378*'Externe blootstelling'!$D$23/2)^K378+L378*(TANH(((H378*'Externe blootstelling'!$D$23)/(2*M378))-2)-TANH(-2))/(1-TANH(-2))</f>
        <v>1.3791870551376002</v>
      </c>
      <c r="O378" s="83">
        <f>IF(N378=1,1+(I378-1)*H378*'Externe blootstelling'!$D$23/2,1+(I378-1)*(N378^(H378*'Externe blootstelling'!$D$23/2)-1)/(N378-1))</f>
        <v>2.0087723306215004</v>
      </c>
      <c r="P378" s="67">
        <f>G378*EXP(-H378*'Externe blootstelling'!$D$23/2)*O378</f>
        <v>3.6029170577578738E-3</v>
      </c>
      <c r="Q378" s="68"/>
    </row>
    <row r="379" spans="1:17" x14ac:dyDescent="0.2">
      <c r="A379" s="217"/>
      <c r="B379" s="64" t="s">
        <v>104</v>
      </c>
      <c r="C379" s="66">
        <v>1.2167999999999999</v>
      </c>
      <c r="D379" s="66">
        <f t="shared" si="26"/>
        <v>1.9468799999999996E-13</v>
      </c>
      <c r="E379" s="66">
        <v>3.3000000000000003E-5</v>
      </c>
      <c r="F379" s="66">
        <f>_xlfn.IFNA(INDEX('hp (pSv cm2)'!$B$2:$B$52,MATCH($C379,'hp (pSv cm2)'!$A$2:$A$52,1))+($C379-INDEX('hp (pSv cm2)'!$A$2:$A$52,MATCH($C379,'hp (pSv cm2)'!$A$2:$A$52,1)))*(INDEX('hp (pSv cm2)'!$B$2:$B$52,MATCH($C379,'hp (pSv cm2)'!$A$2:$A$52,1)+1)-INDEX('hp (pSv cm2)'!$B$2:$B$52,MATCH($C379,'hp (pSv cm2)'!$A$2:$A$52,1)))/(INDEX('hp (pSv cm2)'!$A$2:$A$52,MATCH($C379,'hp (pSv cm2)'!$A$2:$A$52,1)+1)-INDEX('hp (pSv cm2)'!$A$2:$A$52,MATCH($C379,'hp (pSv cm2)'!$A$2:$A$52,1))),$C379*'hp (pSv cm2)'!$B$2/'hp (pSv cm2)'!$A$2)</f>
        <v>5.1967679999999996</v>
      </c>
      <c r="G379" s="67">
        <f t="shared" si="27"/>
        <v>1.71493344E-4</v>
      </c>
      <c r="H379" s="83">
        <f>_xlfn.IFNA(0.997*(INDEX('Mass attenuation coefficients'!$B$2:$B$37,MATCH($C379,'Mass attenuation coefficients'!$A$2:$A$37,1))+($C379-INDEX('Mass attenuation coefficients'!$A$2:$A$37,MATCH($C379,'Mass attenuation coefficients'!$A$2:$A$37,1)))*(INDEX('Mass attenuation coefficients'!$B$2:$B$37,MATCH($C379,'Mass attenuation coefficients'!$A$2:$A$37,1)+1)-INDEX('Mass attenuation coefficients'!$B$2:$B$37,MATCH($C379,'Mass attenuation coefficients'!$A$2:$A$37,1)))/(INDEX('Mass attenuation coefficients'!$A$2:$A$37,MATCH($C379,'Mass attenuation coefficients'!$A$2:$A$37,1)+1)-INDEX('Mass attenuation coefficients'!$A$2:$A$37,MATCH($C379,'Mass attenuation coefficients'!$A$2:$A$37,1)))),0.997*$C379*'Mass attenuation coefficients'!$B$2/'Mass attenuation coefficients'!$A$2)</f>
        <v>6.4031997984E-2</v>
      </c>
      <c r="I379" s="83">
        <f>_xlfn.IFNA(INDEX('Shultis Faw'!$C$2:$C$26,MATCH($C379,'Shultis Faw'!$A$2:$A$26,1))+($C379-INDEX('Shultis Faw'!$A$2:$A$26,MATCH($C379,'Shultis Faw'!$A$2:$A$26,1)))*(INDEX('Shultis Faw'!$C$2:$C$26,MATCH($C379,'Shultis Faw'!$A$2:$A$26,1)+1)-INDEX('Shultis Faw'!$C$2:$C$26,MATCH($C379,'Shultis Faw'!$A$2:$A$26,1)))/(INDEX('Shultis Faw'!$A$2:$A$26,MATCH($C379,'Shultis Faw'!$A$2:$A$26,1)+1)-INDEX('Shultis Faw'!$A$2:$A$26,MATCH($C379,'Shultis Faw'!$A$2:$A$26,1))),$C379*'Shultis Faw'!$C$2/'Shultis Faw'!$A$2)</f>
        <v>2.0318896000000004</v>
      </c>
      <c r="J379" s="83">
        <f>_xlfn.IFNA(INDEX('Shultis Faw'!$D$2:$D$26,MATCH($C379,'Shultis Faw'!$A$2:$A$26,1))+($C379-INDEX('Shultis Faw'!$A$2:$A$26,MATCH($C379,'Shultis Faw'!$A$2:$A$26,1)))*(INDEX('Shultis Faw'!$D$2:$D$26,MATCH($C379,'Shultis Faw'!$A$2:$A$26,1)+1)-INDEX('Shultis Faw'!$D$2:$D$26,MATCH($C379,'Shultis Faw'!$A$2:$A$26,1)))/(INDEX('Shultis Faw'!$A$2:$A$26,MATCH($C379,'Shultis Faw'!$A$2:$A$26,1)+1)-INDEX('Shultis Faw'!$A$2:$A$26,MATCH($C379,'Shultis Faw'!$A$2:$A$26,1))),$C379*'Shultis Faw'!$D$2/'Shultis Faw'!$A$2)</f>
        <v>1.3664208</v>
      </c>
      <c r="K379" s="83">
        <f>_xlfn.IFNA(INDEX('Shultis Faw'!$B$2:$B$26,MATCH($C379,'Shultis Faw'!$A$2:$A$26,1))+($C379-INDEX('Shultis Faw'!$A$2:$A$26,MATCH($C379,'Shultis Faw'!$A$2:$A$26,1)))*(INDEX('Shultis Faw'!$B$2:$B$26,MATCH($C379,'Shultis Faw'!$A$2:$A$26,1)+1)-INDEX('Shultis Faw'!$B$2:$B$26,MATCH($C379,'Shultis Faw'!$A$2:$A$26,1)))/(INDEX('Shultis Faw'!$A$2:$A$26,MATCH($C379,'Shultis Faw'!$A$2:$A$26,1)+1)-INDEX('Shultis Faw'!$A$2:$A$26,MATCH($C379,'Shultis Faw'!$A$2:$A$26,1))),$C379*'Shultis Faw'!$B$2/'Shultis Faw'!$A$2)</f>
        <v>-7.5558400000000012E-2</v>
      </c>
      <c r="L379" s="83">
        <f>_xlfn.IFNA(INDEX('Shultis Faw'!$E$2:$E$26,MATCH($C379,'Shultis Faw'!$A$2:$A$26,1))+($C379-INDEX('Shultis Faw'!$A$2:$A$26,MATCH($C379,'Shultis Faw'!$A$2:$A$26,1)))*(INDEX('Shultis Faw'!$E$2:$E$26,MATCH($C379,'Shultis Faw'!$A$2:$A$26,1)+1)-INDEX('Shultis Faw'!$E$2:$E$26,MATCH($C379,'Shultis Faw'!$A$2:$A$26,1)))/(INDEX('Shultis Faw'!$A$2:$A$26,MATCH($C379,'Shultis Faw'!$A$2:$A$26,1)+1)-INDEX('Shultis Faw'!$A$2:$A$26,MATCH($C379,'Shultis Faw'!$A$2:$A$26,1))),$C379*'Shultis Faw'!$E$2/'Shultis Faw'!$A$2)</f>
        <v>3.2076480000000004E-2</v>
      </c>
      <c r="M379" s="83">
        <f>_xlfn.IFNA(INDEX('Shultis Faw'!$F$2:$F$26,MATCH($C379,'Shultis Faw'!$A$2:$A$26,1))+($C379-INDEX('Shultis Faw'!$A$2:$A$26,MATCH($C379,'Shultis Faw'!$A$2:$A$26,1)))*(INDEX('Shultis Faw'!$F$2:$F$26,MATCH($C379,'Shultis Faw'!$A$2:$A$26,1)+1)-INDEX('Shultis Faw'!$F$2:$F$26,MATCH($C379,'Shultis Faw'!$A$2:$A$26,1)))/(INDEX('Shultis Faw'!$A$2:$A$26,MATCH($C379,'Shultis Faw'!$A$2:$A$26,1)+1)-INDEX('Shultis Faw'!$A$2:$A$26,MATCH($C379,'Shultis Faw'!$A$2:$A$26,1))),$C379*'Shultis Faw'!$F$2/'Shultis Faw'!$A$2)</f>
        <v>14.35008</v>
      </c>
      <c r="N379" s="83">
        <f>J379*(H379*'Externe blootstelling'!$D$23/2)^K379+L379*(TANH(((H379*'Externe blootstelling'!$D$23)/(2*M379))-2)-TANH(-2))/(1-TANH(-2))</f>
        <v>1.3706726174943238</v>
      </c>
      <c r="O379" s="83">
        <f>IF(N379=1,1+(I379-1)*H379*'Externe blootstelling'!$D$23/2,1+(I379-1)*(N379^(H379*'Externe blootstelling'!$D$23/2)-1)/(N379-1))</f>
        <v>1.9846379605944633</v>
      </c>
      <c r="P379" s="67">
        <f>G379*EXP(-H379*'Externe blootstelling'!$D$23/2)*O379</f>
        <v>1.3025590239404042E-4</v>
      </c>
      <c r="Q379" s="68"/>
    </row>
    <row r="380" spans="1:17" x14ac:dyDescent="0.2">
      <c r="A380" s="217"/>
      <c r="B380" s="64" t="s">
        <v>104</v>
      </c>
      <c r="C380" s="66">
        <v>1.2321</v>
      </c>
      <c r="D380" s="66">
        <f t="shared" si="26"/>
        <v>1.9713599999999999E-13</v>
      </c>
      <c r="E380" s="66">
        <v>8.0000000000000007E-5</v>
      </c>
      <c r="F380" s="66">
        <f>_xlfn.IFNA(INDEX('hp (pSv cm2)'!$B$2:$B$52,MATCH($C380,'hp (pSv cm2)'!$A$2:$A$52,1))+($C380-INDEX('hp (pSv cm2)'!$A$2:$A$52,MATCH($C380,'hp (pSv cm2)'!$A$2:$A$52,1)))*(INDEX('hp (pSv cm2)'!$B$2:$B$52,MATCH($C380,'hp (pSv cm2)'!$A$2:$A$52,1)+1)-INDEX('hp (pSv cm2)'!$B$2:$B$52,MATCH($C380,'hp (pSv cm2)'!$A$2:$A$52,1)))/(INDEX('hp (pSv cm2)'!$A$2:$A$52,MATCH($C380,'hp (pSv cm2)'!$A$2:$A$52,1)+1)-INDEX('hp (pSv cm2)'!$A$2:$A$52,MATCH($C380,'hp (pSv cm2)'!$A$2:$A$52,1))),$C380*'hp (pSv cm2)'!$B$2/'hp (pSv cm2)'!$A$2)</f>
        <v>5.2466460000000001</v>
      </c>
      <c r="G380" s="67">
        <f t="shared" si="27"/>
        <v>4.1973168000000006E-4</v>
      </c>
      <c r="H380" s="83">
        <f>_xlfn.IFNA(0.997*(INDEX('Mass attenuation coefficients'!$B$2:$B$37,MATCH($C380,'Mass attenuation coefficients'!$A$2:$A$37,1))+($C380-INDEX('Mass attenuation coefficients'!$A$2:$A$37,MATCH($C380,'Mass attenuation coefficients'!$A$2:$A$37,1)))*(INDEX('Mass attenuation coefficients'!$B$2:$B$37,MATCH($C380,'Mass attenuation coefficients'!$A$2:$A$37,1)+1)-INDEX('Mass attenuation coefficients'!$B$2:$B$37,MATCH($C380,'Mass attenuation coefficients'!$A$2:$A$37,1)))/(INDEX('Mass attenuation coefficients'!$A$2:$A$37,MATCH($C380,'Mass attenuation coefficients'!$A$2:$A$37,1)+1)-INDEX('Mass attenuation coefficients'!$A$2:$A$37,MATCH($C380,'Mass attenuation coefficients'!$A$2:$A$37,1)))),0.997*$C380*'Mass attenuation coefficients'!$B$2/'Mass attenuation coefficients'!$A$2)</f>
        <v>6.3574985147999988E-2</v>
      </c>
      <c r="I380" s="83">
        <f>_xlfn.IFNA(INDEX('Shultis Faw'!$C$2:$C$26,MATCH($C380,'Shultis Faw'!$A$2:$A$26,1))+($C380-INDEX('Shultis Faw'!$A$2:$A$26,MATCH($C380,'Shultis Faw'!$A$2:$A$26,1)))*(INDEX('Shultis Faw'!$C$2:$C$26,MATCH($C380,'Shultis Faw'!$A$2:$A$26,1)+1)-INDEX('Shultis Faw'!$C$2:$C$26,MATCH($C380,'Shultis Faw'!$A$2:$A$26,1)))/(INDEX('Shultis Faw'!$A$2:$A$26,MATCH($C380,'Shultis Faw'!$A$2:$A$26,1)+1)-INDEX('Shultis Faw'!$A$2:$A$26,MATCH($C380,'Shultis Faw'!$A$2:$A$26,1))),$C380*'Shultis Faw'!$C$2/'Shultis Faw'!$A$2)</f>
        <v>2.0268712</v>
      </c>
      <c r="J380" s="83">
        <f>_xlfn.IFNA(INDEX('Shultis Faw'!$D$2:$D$26,MATCH($C380,'Shultis Faw'!$A$2:$A$26,1))+($C380-INDEX('Shultis Faw'!$A$2:$A$26,MATCH($C380,'Shultis Faw'!$A$2:$A$26,1)))*(INDEX('Shultis Faw'!$D$2:$D$26,MATCH($C380,'Shultis Faw'!$A$2:$A$26,1)+1)-INDEX('Shultis Faw'!$D$2:$D$26,MATCH($C380,'Shultis Faw'!$A$2:$A$26,1)))/(INDEX('Shultis Faw'!$A$2:$A$26,MATCH($C380,'Shultis Faw'!$A$2:$A$26,1)+1)-INDEX('Shultis Faw'!$A$2:$A$26,MATCH($C380,'Shultis Faw'!$A$2:$A$26,1))),$C380*'Shultis Faw'!$D$2/'Shultis Faw'!$A$2)</f>
        <v>1.3611576000000001</v>
      </c>
      <c r="K380" s="83">
        <f>_xlfn.IFNA(INDEX('Shultis Faw'!$B$2:$B$26,MATCH($C380,'Shultis Faw'!$A$2:$A$26,1))+($C380-INDEX('Shultis Faw'!$A$2:$A$26,MATCH($C380,'Shultis Faw'!$A$2:$A$26,1)))*(INDEX('Shultis Faw'!$B$2:$B$26,MATCH($C380,'Shultis Faw'!$A$2:$A$26,1)+1)-INDEX('Shultis Faw'!$B$2:$B$26,MATCH($C380,'Shultis Faw'!$A$2:$A$26,1)))/(INDEX('Shultis Faw'!$A$2:$A$26,MATCH($C380,'Shultis Faw'!$A$2:$A$26,1)+1)-INDEX('Shultis Faw'!$A$2:$A$26,MATCH($C380,'Shultis Faw'!$A$2:$A$26,1))),$C380*'Shultis Faw'!$B$2/'Shultis Faw'!$A$2)</f>
        <v>-7.4609800000000004E-2</v>
      </c>
      <c r="L380" s="83">
        <f>_xlfn.IFNA(INDEX('Shultis Faw'!$E$2:$E$26,MATCH($C380,'Shultis Faw'!$A$2:$A$26,1))+($C380-INDEX('Shultis Faw'!$A$2:$A$26,MATCH($C380,'Shultis Faw'!$A$2:$A$26,1)))*(INDEX('Shultis Faw'!$E$2:$E$26,MATCH($C380,'Shultis Faw'!$A$2:$A$26,1)+1)-INDEX('Shultis Faw'!$E$2:$E$26,MATCH($C380,'Shultis Faw'!$A$2:$A$26,1)))/(INDEX('Shultis Faw'!$A$2:$A$26,MATCH($C380,'Shultis Faw'!$A$2:$A$26,1)+1)-INDEX('Shultis Faw'!$A$2:$A$26,MATCH($C380,'Shultis Faw'!$A$2:$A$26,1))),$C380*'Shultis Faw'!$E$2/'Shultis Faw'!$A$2)</f>
        <v>3.1672560000000002E-2</v>
      </c>
      <c r="M380" s="83">
        <f>_xlfn.IFNA(INDEX('Shultis Faw'!$F$2:$F$26,MATCH($C380,'Shultis Faw'!$A$2:$A$26,1))+($C380-INDEX('Shultis Faw'!$A$2:$A$26,MATCH($C380,'Shultis Faw'!$A$2:$A$26,1)))*(INDEX('Shultis Faw'!$F$2:$F$26,MATCH($C380,'Shultis Faw'!$A$2:$A$26,1)+1)-INDEX('Shultis Faw'!$F$2:$F$26,MATCH($C380,'Shultis Faw'!$A$2:$A$26,1)))/(INDEX('Shultis Faw'!$A$2:$A$26,MATCH($C380,'Shultis Faw'!$A$2:$A$26,1)+1)-INDEX('Shultis Faw'!$A$2:$A$26,MATCH($C380,'Shultis Faw'!$A$2:$A$26,1))),$C380*'Shultis Faw'!$F$2/'Shultis Faw'!$A$2)</f>
        <v>14.359260000000001</v>
      </c>
      <c r="N380" s="83">
        <f>J380*(H380*'Externe blootstelling'!$D$23/2)^K380+L380*(TANH(((H380*'Externe blootstelling'!$D$23)/(2*M380))-2)-TANH(-2))/(1-TANH(-2))</f>
        <v>1.3660692393259957</v>
      </c>
      <c r="O380" s="83">
        <f>IF(N380=1,1+(I380-1)*H380*'Externe blootstelling'!$D$23/2,1+(I380-1)*(N380^(H380*'Externe blootstelling'!$D$23/2)-1)/(N380-1))</f>
        <v>1.9718358832553993</v>
      </c>
      <c r="P380" s="67">
        <f>G380*EXP(-H380*'Externe blootstelling'!$D$23/2)*O380</f>
        <v>3.1892497976417127E-4</v>
      </c>
      <c r="Q380" s="68"/>
    </row>
    <row r="381" spans="1:17" x14ac:dyDescent="0.2">
      <c r="A381" s="217"/>
      <c r="B381" s="64" t="s">
        <v>104</v>
      </c>
      <c r="C381" s="66">
        <v>1.24143</v>
      </c>
      <c r="D381" s="66">
        <f t="shared" si="26"/>
        <v>1.986288E-13</v>
      </c>
      <c r="E381" s="66">
        <v>1.33E-3</v>
      </c>
      <c r="F381" s="66">
        <f>_xlfn.IFNA(INDEX('hp (pSv cm2)'!$B$2:$B$52,MATCH($C381,'hp (pSv cm2)'!$A$2:$A$52,1))+($C381-INDEX('hp (pSv cm2)'!$A$2:$A$52,MATCH($C381,'hp (pSv cm2)'!$A$2:$A$52,1)))*(INDEX('hp (pSv cm2)'!$B$2:$B$52,MATCH($C381,'hp (pSv cm2)'!$A$2:$A$52,1)+1)-INDEX('hp (pSv cm2)'!$B$2:$B$52,MATCH($C381,'hp (pSv cm2)'!$A$2:$A$52,1)))/(INDEX('hp (pSv cm2)'!$A$2:$A$52,MATCH($C381,'hp (pSv cm2)'!$A$2:$A$52,1)+1)-INDEX('hp (pSv cm2)'!$A$2:$A$52,MATCH($C381,'hp (pSv cm2)'!$A$2:$A$52,1))),$C381*'hp (pSv cm2)'!$B$2/'hp (pSv cm2)'!$A$2)</f>
        <v>5.2770618000000002</v>
      </c>
      <c r="G381" s="67">
        <f t="shared" si="27"/>
        <v>7.0184921940000004E-3</v>
      </c>
      <c r="H381" s="83">
        <f>_xlfn.IFNA(0.997*(INDEX('Mass attenuation coefficients'!$B$2:$B$37,MATCH($C381,'Mass attenuation coefficients'!$A$2:$A$37,1))+($C381-INDEX('Mass attenuation coefficients'!$A$2:$A$37,MATCH($C381,'Mass attenuation coefficients'!$A$2:$A$37,1)))*(INDEX('Mass attenuation coefficients'!$B$2:$B$37,MATCH($C381,'Mass attenuation coefficients'!$A$2:$A$37,1)+1)-INDEX('Mass attenuation coefficients'!$B$2:$B$37,MATCH($C381,'Mass attenuation coefficients'!$A$2:$A$37,1)))/(INDEX('Mass attenuation coefficients'!$A$2:$A$37,MATCH($C381,'Mass attenuation coefficients'!$A$2:$A$37,1)+1)-INDEX('Mass attenuation coefficients'!$A$2:$A$37,MATCH($C381,'Mass attenuation coefficients'!$A$2:$A$37,1)))),0.997*$C381*'Mass attenuation coefficients'!$B$2/'Mass attenuation coefficients'!$A$2)</f>
        <v>6.3296296928399998E-2</v>
      </c>
      <c r="I381" s="83">
        <f>_xlfn.IFNA(INDEX('Shultis Faw'!$C$2:$C$26,MATCH($C381,'Shultis Faw'!$A$2:$A$26,1))+($C381-INDEX('Shultis Faw'!$A$2:$A$26,MATCH($C381,'Shultis Faw'!$A$2:$A$26,1)))*(INDEX('Shultis Faw'!$C$2:$C$26,MATCH($C381,'Shultis Faw'!$A$2:$A$26,1)+1)-INDEX('Shultis Faw'!$C$2:$C$26,MATCH($C381,'Shultis Faw'!$A$2:$A$26,1)))/(INDEX('Shultis Faw'!$A$2:$A$26,MATCH($C381,'Shultis Faw'!$A$2:$A$26,1)+1)-INDEX('Shultis Faw'!$A$2:$A$26,MATCH($C381,'Shultis Faw'!$A$2:$A$26,1))),$C381*'Shultis Faw'!$C$2/'Shultis Faw'!$A$2)</f>
        <v>2.02381096</v>
      </c>
      <c r="J381" s="83">
        <f>_xlfn.IFNA(INDEX('Shultis Faw'!$D$2:$D$26,MATCH($C381,'Shultis Faw'!$A$2:$A$26,1))+($C381-INDEX('Shultis Faw'!$A$2:$A$26,MATCH($C381,'Shultis Faw'!$A$2:$A$26,1)))*(INDEX('Shultis Faw'!$D$2:$D$26,MATCH($C381,'Shultis Faw'!$A$2:$A$26,1)+1)-INDEX('Shultis Faw'!$D$2:$D$26,MATCH($C381,'Shultis Faw'!$A$2:$A$26,1)))/(INDEX('Shultis Faw'!$A$2:$A$26,MATCH($C381,'Shultis Faw'!$A$2:$A$26,1)+1)-INDEX('Shultis Faw'!$A$2:$A$26,MATCH($C381,'Shultis Faw'!$A$2:$A$26,1))),$C381*'Shultis Faw'!$D$2/'Shultis Faw'!$A$2)</f>
        <v>1.3579480799999999</v>
      </c>
      <c r="K381" s="83">
        <f>_xlfn.IFNA(INDEX('Shultis Faw'!$B$2:$B$26,MATCH($C381,'Shultis Faw'!$A$2:$A$26,1))+($C381-INDEX('Shultis Faw'!$A$2:$A$26,MATCH($C381,'Shultis Faw'!$A$2:$A$26,1)))*(INDEX('Shultis Faw'!$B$2:$B$26,MATCH($C381,'Shultis Faw'!$A$2:$A$26,1)+1)-INDEX('Shultis Faw'!$B$2:$B$26,MATCH($C381,'Shultis Faw'!$A$2:$A$26,1)))/(INDEX('Shultis Faw'!$A$2:$A$26,MATCH($C381,'Shultis Faw'!$A$2:$A$26,1)+1)-INDEX('Shultis Faw'!$A$2:$A$26,MATCH($C381,'Shultis Faw'!$A$2:$A$26,1))),$C381*'Shultis Faw'!$B$2/'Shultis Faw'!$A$2)</f>
        <v>-7.4031340000000001E-2</v>
      </c>
      <c r="L381" s="83">
        <f>_xlfn.IFNA(INDEX('Shultis Faw'!$E$2:$E$26,MATCH($C381,'Shultis Faw'!$A$2:$A$26,1))+($C381-INDEX('Shultis Faw'!$A$2:$A$26,MATCH($C381,'Shultis Faw'!$A$2:$A$26,1)))*(INDEX('Shultis Faw'!$E$2:$E$26,MATCH($C381,'Shultis Faw'!$A$2:$A$26,1)+1)-INDEX('Shultis Faw'!$E$2:$E$26,MATCH($C381,'Shultis Faw'!$A$2:$A$26,1)))/(INDEX('Shultis Faw'!$A$2:$A$26,MATCH($C381,'Shultis Faw'!$A$2:$A$26,1)+1)-INDEX('Shultis Faw'!$A$2:$A$26,MATCH($C381,'Shultis Faw'!$A$2:$A$26,1))),$C381*'Shultis Faw'!$E$2/'Shultis Faw'!$A$2)</f>
        <v>3.1426247999999997E-2</v>
      </c>
      <c r="M381" s="83">
        <f>_xlfn.IFNA(INDEX('Shultis Faw'!$F$2:$F$26,MATCH($C381,'Shultis Faw'!$A$2:$A$26,1))+($C381-INDEX('Shultis Faw'!$A$2:$A$26,MATCH($C381,'Shultis Faw'!$A$2:$A$26,1)))*(INDEX('Shultis Faw'!$F$2:$F$26,MATCH($C381,'Shultis Faw'!$A$2:$A$26,1)+1)-INDEX('Shultis Faw'!$F$2:$F$26,MATCH($C381,'Shultis Faw'!$A$2:$A$26,1)))/(INDEX('Shultis Faw'!$A$2:$A$26,MATCH($C381,'Shultis Faw'!$A$2:$A$26,1)+1)-INDEX('Shultis Faw'!$A$2:$A$26,MATCH($C381,'Shultis Faw'!$A$2:$A$26,1))),$C381*'Shultis Faw'!$F$2/'Shultis Faw'!$A$2)</f>
        <v>14.364858</v>
      </c>
      <c r="N381" s="83">
        <f>J381*(H381*'Externe blootstelling'!$D$23/2)^K381+L381*(TANH(((H381*'Externe blootstelling'!$D$23)/(2*M381))-2)-TANH(-2))/(1-TANH(-2))</f>
        <v>1.363253145511186</v>
      </c>
      <c r="O381" s="83">
        <f>IF(N381=1,1+(I381-1)*H381*'Externe blootstelling'!$D$23/2,1+(I381-1)*(N381^(H381*'Externe blootstelling'!$D$23/2)-1)/(N381-1))</f>
        <v>1.9640877287561045</v>
      </c>
      <c r="P381" s="67">
        <f>G381*EXP(-H381*'Externe blootstelling'!$D$23/2)*O381</f>
        <v>5.3341621851169148E-3</v>
      </c>
      <c r="Q381" s="68"/>
    </row>
    <row r="382" spans="1:17" x14ac:dyDescent="0.2">
      <c r="A382" s="217"/>
      <c r="B382" s="64" t="s">
        <v>104</v>
      </c>
      <c r="C382" s="66">
        <v>1.246121</v>
      </c>
      <c r="D382" s="66">
        <f t="shared" si="26"/>
        <v>1.9937935999999999E-13</v>
      </c>
      <c r="E382" s="66">
        <v>8.6199999999999992E-3</v>
      </c>
      <c r="F382" s="66">
        <f>_xlfn.IFNA(INDEX('hp (pSv cm2)'!$B$2:$B$52,MATCH($C382,'hp (pSv cm2)'!$A$2:$A$52,1))+($C382-INDEX('hp (pSv cm2)'!$A$2:$A$52,MATCH($C382,'hp (pSv cm2)'!$A$2:$A$52,1)))*(INDEX('hp (pSv cm2)'!$B$2:$B$52,MATCH($C382,'hp (pSv cm2)'!$A$2:$A$52,1)+1)-INDEX('hp (pSv cm2)'!$B$2:$B$52,MATCH($C382,'hp (pSv cm2)'!$A$2:$A$52,1)))/(INDEX('hp (pSv cm2)'!$A$2:$A$52,MATCH($C382,'hp (pSv cm2)'!$A$2:$A$52,1)+1)-INDEX('hp (pSv cm2)'!$A$2:$A$52,MATCH($C382,'hp (pSv cm2)'!$A$2:$A$52,1))),$C382*'hp (pSv cm2)'!$B$2/'hp (pSv cm2)'!$A$2)</f>
        <v>5.2923544600000003</v>
      </c>
      <c r="G382" s="67">
        <f t="shared" si="27"/>
        <v>4.5620095445200001E-2</v>
      </c>
      <c r="H382" s="83">
        <f>_xlfn.IFNA(0.997*(INDEX('Mass attenuation coefficients'!$B$2:$B$37,MATCH($C382,'Mass attenuation coefficients'!$A$2:$A$37,1))+($C382-INDEX('Mass attenuation coefficients'!$A$2:$A$37,MATCH($C382,'Mass attenuation coefficients'!$A$2:$A$37,1)))*(INDEX('Mass attenuation coefficients'!$B$2:$B$37,MATCH($C382,'Mass attenuation coefficients'!$A$2:$A$37,1)+1)-INDEX('Mass attenuation coefficients'!$B$2:$B$37,MATCH($C382,'Mass attenuation coefficients'!$A$2:$A$37,1)))/(INDEX('Mass attenuation coefficients'!$A$2:$A$37,MATCH($C382,'Mass attenuation coefficients'!$A$2:$A$37,1)+1)-INDEX('Mass attenuation coefficients'!$A$2:$A$37,MATCH($C382,'Mass attenuation coefficients'!$A$2:$A$37,1)))),0.997*$C382*'Mass attenuation coefficients'!$B$2/'Mass attenuation coefficients'!$A$2)</f>
        <v>6.3156176195480002E-2</v>
      </c>
      <c r="I382" s="83">
        <f>_xlfn.IFNA(INDEX('Shultis Faw'!$C$2:$C$26,MATCH($C382,'Shultis Faw'!$A$2:$A$26,1))+($C382-INDEX('Shultis Faw'!$A$2:$A$26,MATCH($C382,'Shultis Faw'!$A$2:$A$26,1)))*(INDEX('Shultis Faw'!$C$2:$C$26,MATCH($C382,'Shultis Faw'!$A$2:$A$26,1)+1)-INDEX('Shultis Faw'!$C$2:$C$26,MATCH($C382,'Shultis Faw'!$A$2:$A$26,1)))/(INDEX('Shultis Faw'!$A$2:$A$26,MATCH($C382,'Shultis Faw'!$A$2:$A$26,1)+1)-INDEX('Shultis Faw'!$A$2:$A$26,MATCH($C382,'Shultis Faw'!$A$2:$A$26,1))),$C382*'Shultis Faw'!$C$2/'Shultis Faw'!$A$2)</f>
        <v>2.0222723120000001</v>
      </c>
      <c r="J382" s="83">
        <f>_xlfn.IFNA(INDEX('Shultis Faw'!$D$2:$D$26,MATCH($C382,'Shultis Faw'!$A$2:$A$26,1))+($C382-INDEX('Shultis Faw'!$A$2:$A$26,MATCH($C382,'Shultis Faw'!$A$2:$A$26,1)))*(INDEX('Shultis Faw'!$D$2:$D$26,MATCH($C382,'Shultis Faw'!$A$2:$A$26,1)+1)-INDEX('Shultis Faw'!$D$2:$D$26,MATCH($C382,'Shultis Faw'!$A$2:$A$26,1)))/(INDEX('Shultis Faw'!$A$2:$A$26,MATCH($C382,'Shultis Faw'!$A$2:$A$26,1)+1)-INDEX('Shultis Faw'!$A$2:$A$26,MATCH($C382,'Shultis Faw'!$A$2:$A$26,1))),$C382*'Shultis Faw'!$D$2/'Shultis Faw'!$A$2)</f>
        <v>1.356334376</v>
      </c>
      <c r="K382" s="83">
        <f>_xlfn.IFNA(INDEX('Shultis Faw'!$B$2:$B$26,MATCH($C382,'Shultis Faw'!$A$2:$A$26,1))+($C382-INDEX('Shultis Faw'!$A$2:$A$26,MATCH($C382,'Shultis Faw'!$A$2:$A$26,1)))*(INDEX('Shultis Faw'!$B$2:$B$26,MATCH($C382,'Shultis Faw'!$A$2:$A$26,1)+1)-INDEX('Shultis Faw'!$B$2:$B$26,MATCH($C382,'Shultis Faw'!$A$2:$A$26,1)))/(INDEX('Shultis Faw'!$A$2:$A$26,MATCH($C382,'Shultis Faw'!$A$2:$A$26,1)+1)-INDEX('Shultis Faw'!$A$2:$A$26,MATCH($C382,'Shultis Faw'!$A$2:$A$26,1))),$C382*'Shultis Faw'!$B$2/'Shultis Faw'!$A$2)</f>
        <v>-7.3740498000000002E-2</v>
      </c>
      <c r="L382" s="83">
        <f>_xlfn.IFNA(INDEX('Shultis Faw'!$E$2:$E$26,MATCH($C382,'Shultis Faw'!$A$2:$A$26,1))+($C382-INDEX('Shultis Faw'!$A$2:$A$26,MATCH($C382,'Shultis Faw'!$A$2:$A$26,1)))*(INDEX('Shultis Faw'!$E$2:$E$26,MATCH($C382,'Shultis Faw'!$A$2:$A$26,1)+1)-INDEX('Shultis Faw'!$E$2:$E$26,MATCH($C382,'Shultis Faw'!$A$2:$A$26,1)))/(INDEX('Shultis Faw'!$A$2:$A$26,MATCH($C382,'Shultis Faw'!$A$2:$A$26,1)+1)-INDEX('Shultis Faw'!$A$2:$A$26,MATCH($C382,'Shultis Faw'!$A$2:$A$26,1))),$C382*'Shultis Faw'!$E$2/'Shultis Faw'!$A$2)</f>
        <v>3.1302405599999999E-2</v>
      </c>
      <c r="M382" s="83">
        <f>_xlfn.IFNA(INDEX('Shultis Faw'!$F$2:$F$26,MATCH($C382,'Shultis Faw'!$A$2:$A$26,1))+($C382-INDEX('Shultis Faw'!$A$2:$A$26,MATCH($C382,'Shultis Faw'!$A$2:$A$26,1)))*(INDEX('Shultis Faw'!$F$2:$F$26,MATCH($C382,'Shultis Faw'!$A$2:$A$26,1)+1)-INDEX('Shultis Faw'!$F$2:$F$26,MATCH($C382,'Shultis Faw'!$A$2:$A$26,1)))/(INDEX('Shultis Faw'!$A$2:$A$26,MATCH($C382,'Shultis Faw'!$A$2:$A$26,1)+1)-INDEX('Shultis Faw'!$A$2:$A$26,MATCH($C382,'Shultis Faw'!$A$2:$A$26,1))),$C382*'Shultis Faw'!$F$2/'Shultis Faw'!$A$2)</f>
        <v>14.367672600000001</v>
      </c>
      <c r="N382" s="83">
        <f>J382*(H382*'Externe blootstelling'!$D$23/2)^K382+L382*(TANH(((H382*'Externe blootstelling'!$D$23)/(2*M382))-2)-TANH(-2))/(1-TANH(-2))</f>
        <v>1.3618346939645554</v>
      </c>
      <c r="O382" s="83">
        <f>IF(N382=1,1+(I382-1)*H382*'Externe blootstelling'!$D$23/2,1+(I382-1)*(N382^(H382*'Externe blootstelling'!$D$23/2)-1)/(N382-1))</f>
        <v>1.960208739226835</v>
      </c>
      <c r="P382" s="67">
        <f>G382*EXP(-H382*'Externe blootstelling'!$D$23/2)*O382</f>
        <v>3.4676306130497367E-2</v>
      </c>
      <c r="Q382" s="68"/>
    </row>
    <row r="383" spans="1:17" x14ac:dyDescent="0.2">
      <c r="A383" s="217"/>
      <c r="B383" s="64" t="s">
        <v>104</v>
      </c>
      <c r="C383" s="66">
        <v>1.274429</v>
      </c>
      <c r="D383" s="66">
        <f t="shared" si="26"/>
        <v>2.0390863999999998E-13</v>
      </c>
      <c r="E383" s="66">
        <v>0.34899999999999998</v>
      </c>
      <c r="F383" s="66">
        <f>_xlfn.IFNA(INDEX('hp (pSv cm2)'!$B$2:$B$52,MATCH($C383,'hp (pSv cm2)'!$A$2:$A$52,1))+($C383-INDEX('hp (pSv cm2)'!$A$2:$A$52,MATCH($C383,'hp (pSv cm2)'!$A$2:$A$52,1)))*(INDEX('hp (pSv cm2)'!$B$2:$B$52,MATCH($C383,'hp (pSv cm2)'!$A$2:$A$52,1)+1)-INDEX('hp (pSv cm2)'!$B$2:$B$52,MATCH($C383,'hp (pSv cm2)'!$A$2:$A$52,1)))/(INDEX('hp (pSv cm2)'!$A$2:$A$52,MATCH($C383,'hp (pSv cm2)'!$A$2:$A$52,1)+1)-INDEX('hp (pSv cm2)'!$A$2:$A$52,MATCH($C383,'hp (pSv cm2)'!$A$2:$A$52,1))),$C383*'hp (pSv cm2)'!$B$2/'hp (pSv cm2)'!$A$2)</f>
        <v>5.3846385400000001</v>
      </c>
      <c r="G383" s="67">
        <f t="shared" si="27"/>
        <v>1.8792388504599999</v>
      </c>
      <c r="H383" s="83">
        <f>_xlfn.IFNA(0.997*(INDEX('Mass attenuation coefficients'!$B$2:$B$37,MATCH($C383,'Mass attenuation coefficients'!$A$2:$A$37,1))+($C383-INDEX('Mass attenuation coefficients'!$A$2:$A$37,MATCH($C383,'Mass attenuation coefficients'!$A$2:$A$37,1)))*(INDEX('Mass attenuation coefficients'!$B$2:$B$37,MATCH($C383,'Mass attenuation coefficients'!$A$2:$A$37,1)+1)-INDEX('Mass attenuation coefficients'!$B$2:$B$37,MATCH($C383,'Mass attenuation coefficients'!$A$2:$A$37,1)))/(INDEX('Mass attenuation coefficients'!$A$2:$A$37,MATCH($C383,'Mass attenuation coefficients'!$A$2:$A$37,1)+1)-INDEX('Mass attenuation coefficients'!$A$2:$A$37,MATCH($C383,'Mass attenuation coefficients'!$A$2:$A$37,1)))),0.997*$C383*'Mass attenuation coefficients'!$B$2/'Mass attenuation coefficients'!$A$2)</f>
        <v>6.2485973972119989E-2</v>
      </c>
      <c r="I383" s="83">
        <f>_xlfn.IFNA(INDEX('Shultis Faw'!$C$2:$C$26,MATCH($C383,'Shultis Faw'!$A$2:$A$26,1))+($C383-INDEX('Shultis Faw'!$A$2:$A$26,MATCH($C383,'Shultis Faw'!$A$2:$A$26,1)))*(INDEX('Shultis Faw'!$C$2:$C$26,MATCH($C383,'Shultis Faw'!$A$2:$A$26,1)+1)-INDEX('Shultis Faw'!$C$2:$C$26,MATCH($C383,'Shultis Faw'!$A$2:$A$26,1)))/(INDEX('Shultis Faw'!$A$2:$A$26,MATCH($C383,'Shultis Faw'!$A$2:$A$26,1)+1)-INDEX('Shultis Faw'!$A$2:$A$26,MATCH($C383,'Shultis Faw'!$A$2:$A$26,1))),$C383*'Shultis Faw'!$C$2/'Shultis Faw'!$A$2)</f>
        <v>2.0129872880000002</v>
      </c>
      <c r="J383" s="83">
        <f>_xlfn.IFNA(INDEX('Shultis Faw'!$D$2:$D$26,MATCH($C383,'Shultis Faw'!$A$2:$A$26,1))+($C383-INDEX('Shultis Faw'!$A$2:$A$26,MATCH($C383,'Shultis Faw'!$A$2:$A$26,1)))*(INDEX('Shultis Faw'!$D$2:$D$26,MATCH($C383,'Shultis Faw'!$A$2:$A$26,1)+1)-INDEX('Shultis Faw'!$D$2:$D$26,MATCH($C383,'Shultis Faw'!$A$2:$A$26,1)))/(INDEX('Shultis Faw'!$A$2:$A$26,MATCH($C383,'Shultis Faw'!$A$2:$A$26,1)+1)-INDEX('Shultis Faw'!$A$2:$A$26,MATCH($C383,'Shultis Faw'!$A$2:$A$26,1))),$C383*'Shultis Faw'!$D$2/'Shultis Faw'!$A$2)</f>
        <v>1.3465964239999999</v>
      </c>
      <c r="K383" s="83">
        <f>_xlfn.IFNA(INDEX('Shultis Faw'!$B$2:$B$26,MATCH($C383,'Shultis Faw'!$A$2:$A$26,1))+($C383-INDEX('Shultis Faw'!$A$2:$A$26,MATCH($C383,'Shultis Faw'!$A$2:$A$26,1)))*(INDEX('Shultis Faw'!$B$2:$B$26,MATCH($C383,'Shultis Faw'!$A$2:$A$26,1)+1)-INDEX('Shultis Faw'!$B$2:$B$26,MATCH($C383,'Shultis Faw'!$A$2:$A$26,1)))/(INDEX('Shultis Faw'!$A$2:$A$26,MATCH($C383,'Shultis Faw'!$A$2:$A$26,1)+1)-INDEX('Shultis Faw'!$A$2:$A$26,MATCH($C383,'Shultis Faw'!$A$2:$A$26,1))),$C383*'Shultis Faw'!$B$2/'Shultis Faw'!$A$2)</f>
        <v>-7.1985402000000004E-2</v>
      </c>
      <c r="L383" s="83">
        <f>_xlfn.IFNA(INDEX('Shultis Faw'!$E$2:$E$26,MATCH($C383,'Shultis Faw'!$A$2:$A$26,1))+($C383-INDEX('Shultis Faw'!$A$2:$A$26,MATCH($C383,'Shultis Faw'!$A$2:$A$26,1)))*(INDEX('Shultis Faw'!$E$2:$E$26,MATCH($C383,'Shultis Faw'!$A$2:$A$26,1)+1)-INDEX('Shultis Faw'!$E$2:$E$26,MATCH($C383,'Shultis Faw'!$A$2:$A$26,1)))/(INDEX('Shultis Faw'!$A$2:$A$26,MATCH($C383,'Shultis Faw'!$A$2:$A$26,1)+1)-INDEX('Shultis Faw'!$A$2:$A$26,MATCH($C383,'Shultis Faw'!$A$2:$A$26,1))),$C383*'Shultis Faw'!$E$2/'Shultis Faw'!$A$2)</f>
        <v>3.05550744E-2</v>
      </c>
      <c r="M383" s="83">
        <f>_xlfn.IFNA(INDEX('Shultis Faw'!$F$2:$F$26,MATCH($C383,'Shultis Faw'!$A$2:$A$26,1))+($C383-INDEX('Shultis Faw'!$A$2:$A$26,MATCH($C383,'Shultis Faw'!$A$2:$A$26,1)))*(INDEX('Shultis Faw'!$F$2:$F$26,MATCH($C383,'Shultis Faw'!$A$2:$A$26,1)+1)-INDEX('Shultis Faw'!$F$2:$F$26,MATCH($C383,'Shultis Faw'!$A$2:$A$26,1)))/(INDEX('Shultis Faw'!$A$2:$A$26,MATCH($C383,'Shultis Faw'!$A$2:$A$26,1)+1)-INDEX('Shultis Faw'!$A$2:$A$26,MATCH($C383,'Shultis Faw'!$A$2:$A$26,1))),$C383*'Shultis Faw'!$F$2/'Shultis Faw'!$A$2)</f>
        <v>14.3846574</v>
      </c>
      <c r="N383" s="83">
        <f>J383*(H383*'Externe blootstelling'!$D$23/2)^K383+L383*(TANH(((H383*'Externe blootstelling'!$D$23)/(2*M383))-2)-TANH(-2))/(1-TANH(-2))</f>
        <v>1.3529652004837183</v>
      </c>
      <c r="O383" s="83">
        <f>IF(N383=1,1+(I383-1)*H383*'Externe blootstelling'!$D$23/2,1+(I383-1)*(N383^(H383*'Externe blootstelling'!$D$23/2)-1)/(N383-1))</f>
        <v>1.9400710256180385</v>
      </c>
      <c r="P383" s="67">
        <f>G383*EXP(-H383*'Externe blootstelling'!$D$23/2)*O383</f>
        <v>1.4280384681731544</v>
      </c>
      <c r="Q383" s="68"/>
    </row>
    <row r="384" spans="1:17" x14ac:dyDescent="0.2">
      <c r="A384" s="217"/>
      <c r="B384" s="64" t="s">
        <v>104</v>
      </c>
      <c r="C384" s="66">
        <v>1.2905</v>
      </c>
      <c r="D384" s="66">
        <f t="shared" si="26"/>
        <v>2.0647999999999999E-13</v>
      </c>
      <c r="E384" s="66">
        <v>2.5000000000000001E-4</v>
      </c>
      <c r="F384" s="66">
        <f>_xlfn.IFNA(INDEX('hp (pSv cm2)'!$B$2:$B$52,MATCH($C384,'hp (pSv cm2)'!$A$2:$A$52,1))+($C384-INDEX('hp (pSv cm2)'!$A$2:$A$52,MATCH($C384,'hp (pSv cm2)'!$A$2:$A$52,1)))*(INDEX('hp (pSv cm2)'!$B$2:$B$52,MATCH($C384,'hp (pSv cm2)'!$A$2:$A$52,1)+1)-INDEX('hp (pSv cm2)'!$B$2:$B$52,MATCH($C384,'hp (pSv cm2)'!$A$2:$A$52,1)))/(INDEX('hp (pSv cm2)'!$A$2:$A$52,MATCH($C384,'hp (pSv cm2)'!$A$2:$A$52,1)+1)-INDEX('hp (pSv cm2)'!$A$2:$A$52,MATCH($C384,'hp (pSv cm2)'!$A$2:$A$52,1))),$C384*'hp (pSv cm2)'!$B$2/'hp (pSv cm2)'!$A$2)</f>
        <v>5.43703</v>
      </c>
      <c r="G384" s="67">
        <f t="shared" si="27"/>
        <v>1.3592575E-3</v>
      </c>
      <c r="H384" s="83">
        <f>_xlfn.IFNA(0.997*(INDEX('Mass attenuation coefficients'!$B$2:$B$37,MATCH($C384,'Mass attenuation coefficients'!$A$2:$A$37,1))+($C384-INDEX('Mass attenuation coefficients'!$A$2:$A$37,MATCH($C384,'Mass attenuation coefficients'!$A$2:$A$37,1)))*(INDEX('Mass attenuation coefficients'!$B$2:$B$37,MATCH($C384,'Mass attenuation coefficients'!$A$2:$A$37,1)+1)-INDEX('Mass attenuation coefficients'!$B$2:$B$37,MATCH($C384,'Mass attenuation coefficients'!$A$2:$A$37,1)))/(INDEX('Mass attenuation coefficients'!$A$2:$A$37,MATCH($C384,'Mass attenuation coefficients'!$A$2:$A$37,1)+1)-INDEX('Mass attenuation coefficients'!$A$2:$A$37,MATCH($C384,'Mass attenuation coefficients'!$A$2:$A$37,1)))),0.997*$C384*'Mass attenuation coefficients'!$B$2/'Mass attenuation coefficients'!$A$2)</f>
        <v>6.212129534E-2</v>
      </c>
      <c r="I384" s="83">
        <f>_xlfn.IFNA(INDEX('Shultis Faw'!$C$2:$C$26,MATCH($C384,'Shultis Faw'!$A$2:$A$26,1))+($C384-INDEX('Shultis Faw'!$A$2:$A$26,MATCH($C384,'Shultis Faw'!$A$2:$A$26,1)))*(INDEX('Shultis Faw'!$C$2:$C$26,MATCH($C384,'Shultis Faw'!$A$2:$A$26,1)+1)-INDEX('Shultis Faw'!$C$2:$C$26,MATCH($C384,'Shultis Faw'!$A$2:$A$26,1)))/(INDEX('Shultis Faw'!$A$2:$A$26,MATCH($C384,'Shultis Faw'!$A$2:$A$26,1)+1)-INDEX('Shultis Faw'!$A$2:$A$26,MATCH($C384,'Shultis Faw'!$A$2:$A$26,1))),$C384*'Shultis Faw'!$C$2/'Shultis Faw'!$A$2)</f>
        <v>2.0077160000000003</v>
      </c>
      <c r="J384" s="83">
        <f>_xlfn.IFNA(INDEX('Shultis Faw'!$D$2:$D$26,MATCH($C384,'Shultis Faw'!$A$2:$A$26,1))+($C384-INDEX('Shultis Faw'!$A$2:$A$26,MATCH($C384,'Shultis Faw'!$A$2:$A$26,1)))*(INDEX('Shultis Faw'!$D$2:$D$26,MATCH($C384,'Shultis Faw'!$A$2:$A$26,1)+1)-INDEX('Shultis Faw'!$D$2:$D$26,MATCH($C384,'Shultis Faw'!$A$2:$A$26,1)))/(INDEX('Shultis Faw'!$A$2:$A$26,MATCH($C384,'Shultis Faw'!$A$2:$A$26,1)+1)-INDEX('Shultis Faw'!$A$2:$A$26,MATCH($C384,'Shultis Faw'!$A$2:$A$26,1))),$C384*'Shultis Faw'!$D$2/'Shultis Faw'!$A$2)</f>
        <v>1.3410679999999999</v>
      </c>
      <c r="K384" s="83">
        <f>_xlfn.IFNA(INDEX('Shultis Faw'!$B$2:$B$26,MATCH($C384,'Shultis Faw'!$A$2:$A$26,1))+($C384-INDEX('Shultis Faw'!$A$2:$A$26,MATCH($C384,'Shultis Faw'!$A$2:$A$26,1)))*(INDEX('Shultis Faw'!$B$2:$B$26,MATCH($C384,'Shultis Faw'!$A$2:$A$26,1)+1)-INDEX('Shultis Faw'!$B$2:$B$26,MATCH($C384,'Shultis Faw'!$A$2:$A$26,1)))/(INDEX('Shultis Faw'!$A$2:$A$26,MATCH($C384,'Shultis Faw'!$A$2:$A$26,1)+1)-INDEX('Shultis Faw'!$A$2:$A$26,MATCH($C384,'Shultis Faw'!$A$2:$A$26,1))),$C384*'Shultis Faw'!$B$2/'Shultis Faw'!$A$2)</f>
        <v>-7.0988999999999997E-2</v>
      </c>
      <c r="L384" s="83">
        <f>_xlfn.IFNA(INDEX('Shultis Faw'!$E$2:$E$26,MATCH($C384,'Shultis Faw'!$A$2:$A$26,1))+($C384-INDEX('Shultis Faw'!$A$2:$A$26,MATCH($C384,'Shultis Faw'!$A$2:$A$26,1)))*(INDEX('Shultis Faw'!$E$2:$E$26,MATCH($C384,'Shultis Faw'!$A$2:$A$26,1)+1)-INDEX('Shultis Faw'!$E$2:$E$26,MATCH($C384,'Shultis Faw'!$A$2:$A$26,1)))/(INDEX('Shultis Faw'!$A$2:$A$26,MATCH($C384,'Shultis Faw'!$A$2:$A$26,1)+1)-INDEX('Shultis Faw'!$A$2:$A$26,MATCH($C384,'Shultis Faw'!$A$2:$A$26,1))),$C384*'Shultis Faw'!$E$2/'Shultis Faw'!$A$2)</f>
        <v>3.0130799999999999E-2</v>
      </c>
      <c r="M384" s="83">
        <f>_xlfn.IFNA(INDEX('Shultis Faw'!$F$2:$F$26,MATCH($C384,'Shultis Faw'!$A$2:$A$26,1))+($C384-INDEX('Shultis Faw'!$A$2:$A$26,MATCH($C384,'Shultis Faw'!$A$2:$A$26,1)))*(INDEX('Shultis Faw'!$F$2:$F$26,MATCH($C384,'Shultis Faw'!$A$2:$A$26,1)+1)-INDEX('Shultis Faw'!$F$2:$F$26,MATCH($C384,'Shultis Faw'!$A$2:$A$26,1)))/(INDEX('Shultis Faw'!$A$2:$A$26,MATCH($C384,'Shultis Faw'!$A$2:$A$26,1)+1)-INDEX('Shultis Faw'!$A$2:$A$26,MATCH($C384,'Shultis Faw'!$A$2:$A$26,1))),$C384*'Shultis Faw'!$F$2/'Shultis Faw'!$A$2)</f>
        <v>14.394299999999999</v>
      </c>
      <c r="N384" s="83">
        <f>J384*(H384*'Externe blootstelling'!$D$23/2)^K384+L384*(TANH(((H384*'Externe blootstelling'!$D$23)/(2*M384))-2)-TANH(-2))/(1-TANH(-2))</f>
        <v>1.3478823436149259</v>
      </c>
      <c r="O384" s="83">
        <f>IF(N384=1,1+(I384-1)*H384*'Externe blootstelling'!$D$23/2,1+(I384-1)*(N384^(H384*'Externe blootstelling'!$D$23/2)-1)/(N384-1))</f>
        <v>1.9290475018680904</v>
      </c>
      <c r="P384" s="67">
        <f>G384*EXP(-H384*'Externe blootstelling'!$D$23/2)*O384</f>
        <v>1.0326677717210481E-3</v>
      </c>
      <c r="Q384" s="68"/>
    </row>
    <row r="385" spans="1:17" x14ac:dyDescent="0.2">
      <c r="A385" s="217"/>
      <c r="B385" s="64" t="s">
        <v>104</v>
      </c>
      <c r="C385" s="66">
        <v>1.292</v>
      </c>
      <c r="D385" s="66">
        <f t="shared" si="26"/>
        <v>2.0671999999999998E-13</v>
      </c>
      <c r="E385" s="66">
        <v>1.27E-4</v>
      </c>
      <c r="F385" s="66">
        <f>_xlfn.IFNA(INDEX('hp (pSv cm2)'!$B$2:$B$52,MATCH($C385,'hp (pSv cm2)'!$A$2:$A$52,1))+($C385-INDEX('hp (pSv cm2)'!$A$2:$A$52,MATCH($C385,'hp (pSv cm2)'!$A$2:$A$52,1)))*(INDEX('hp (pSv cm2)'!$B$2:$B$52,MATCH($C385,'hp (pSv cm2)'!$A$2:$A$52,1)+1)-INDEX('hp (pSv cm2)'!$B$2:$B$52,MATCH($C385,'hp (pSv cm2)'!$A$2:$A$52,1)))/(INDEX('hp (pSv cm2)'!$A$2:$A$52,MATCH($C385,'hp (pSv cm2)'!$A$2:$A$52,1)+1)-INDEX('hp (pSv cm2)'!$A$2:$A$52,MATCH($C385,'hp (pSv cm2)'!$A$2:$A$52,1))),$C385*'hp (pSv cm2)'!$B$2/'hp (pSv cm2)'!$A$2)</f>
        <v>5.4419200000000005</v>
      </c>
      <c r="G385" s="67">
        <f t="shared" si="27"/>
        <v>6.9112384000000009E-4</v>
      </c>
      <c r="H385" s="83">
        <f>_xlfn.IFNA(0.997*(INDEX('Mass attenuation coefficients'!$B$2:$B$37,MATCH($C385,'Mass attenuation coefficients'!$A$2:$A$37,1))+($C385-INDEX('Mass attenuation coefficients'!$A$2:$A$37,MATCH($C385,'Mass attenuation coefficients'!$A$2:$A$37,1)))*(INDEX('Mass attenuation coefficients'!$B$2:$B$37,MATCH($C385,'Mass attenuation coefficients'!$A$2:$A$37,1)+1)-INDEX('Mass attenuation coefficients'!$B$2:$B$37,MATCH($C385,'Mass attenuation coefficients'!$A$2:$A$37,1)))/(INDEX('Mass attenuation coefficients'!$A$2:$A$37,MATCH($C385,'Mass attenuation coefficients'!$A$2:$A$37,1)+1)-INDEX('Mass attenuation coefficients'!$A$2:$A$37,MATCH($C385,'Mass attenuation coefficients'!$A$2:$A$37,1)))),0.997*$C385*'Mass attenuation coefficients'!$B$2/'Mass attenuation coefficients'!$A$2)</f>
        <v>6.2087257759999993E-2</v>
      </c>
      <c r="I385" s="83">
        <f>_xlfn.IFNA(INDEX('Shultis Faw'!$C$2:$C$26,MATCH($C385,'Shultis Faw'!$A$2:$A$26,1))+($C385-INDEX('Shultis Faw'!$A$2:$A$26,MATCH($C385,'Shultis Faw'!$A$2:$A$26,1)))*(INDEX('Shultis Faw'!$C$2:$C$26,MATCH($C385,'Shultis Faw'!$A$2:$A$26,1)+1)-INDEX('Shultis Faw'!$C$2:$C$26,MATCH($C385,'Shultis Faw'!$A$2:$A$26,1)))/(INDEX('Shultis Faw'!$A$2:$A$26,MATCH($C385,'Shultis Faw'!$A$2:$A$26,1)+1)-INDEX('Shultis Faw'!$A$2:$A$26,MATCH($C385,'Shultis Faw'!$A$2:$A$26,1))),$C385*'Shultis Faw'!$C$2/'Shultis Faw'!$A$2)</f>
        <v>2.0072239999999999</v>
      </c>
      <c r="J385" s="83">
        <f>_xlfn.IFNA(INDEX('Shultis Faw'!$D$2:$D$26,MATCH($C385,'Shultis Faw'!$A$2:$A$26,1))+($C385-INDEX('Shultis Faw'!$A$2:$A$26,MATCH($C385,'Shultis Faw'!$A$2:$A$26,1)))*(INDEX('Shultis Faw'!$D$2:$D$26,MATCH($C385,'Shultis Faw'!$A$2:$A$26,1)+1)-INDEX('Shultis Faw'!$D$2:$D$26,MATCH($C385,'Shultis Faw'!$A$2:$A$26,1)))/(INDEX('Shultis Faw'!$A$2:$A$26,MATCH($C385,'Shultis Faw'!$A$2:$A$26,1)+1)-INDEX('Shultis Faw'!$A$2:$A$26,MATCH($C385,'Shultis Faw'!$A$2:$A$26,1))),$C385*'Shultis Faw'!$D$2/'Shultis Faw'!$A$2)</f>
        <v>1.340552</v>
      </c>
      <c r="K385" s="83">
        <f>_xlfn.IFNA(INDEX('Shultis Faw'!$B$2:$B$26,MATCH($C385,'Shultis Faw'!$A$2:$A$26,1))+($C385-INDEX('Shultis Faw'!$A$2:$A$26,MATCH($C385,'Shultis Faw'!$A$2:$A$26,1)))*(INDEX('Shultis Faw'!$B$2:$B$26,MATCH($C385,'Shultis Faw'!$A$2:$A$26,1)+1)-INDEX('Shultis Faw'!$B$2:$B$26,MATCH($C385,'Shultis Faw'!$A$2:$A$26,1)))/(INDEX('Shultis Faw'!$A$2:$A$26,MATCH($C385,'Shultis Faw'!$A$2:$A$26,1)+1)-INDEX('Shultis Faw'!$A$2:$A$26,MATCH($C385,'Shultis Faw'!$A$2:$A$26,1))),$C385*'Shultis Faw'!$B$2/'Shultis Faw'!$A$2)</f>
        <v>-7.0896000000000001E-2</v>
      </c>
      <c r="L385" s="83">
        <f>_xlfn.IFNA(INDEX('Shultis Faw'!$E$2:$E$26,MATCH($C385,'Shultis Faw'!$A$2:$A$26,1))+($C385-INDEX('Shultis Faw'!$A$2:$A$26,MATCH($C385,'Shultis Faw'!$A$2:$A$26,1)))*(INDEX('Shultis Faw'!$E$2:$E$26,MATCH($C385,'Shultis Faw'!$A$2:$A$26,1)+1)-INDEX('Shultis Faw'!$E$2:$E$26,MATCH($C385,'Shultis Faw'!$A$2:$A$26,1)))/(INDEX('Shultis Faw'!$A$2:$A$26,MATCH($C385,'Shultis Faw'!$A$2:$A$26,1)+1)-INDEX('Shultis Faw'!$A$2:$A$26,MATCH($C385,'Shultis Faw'!$A$2:$A$26,1))),$C385*'Shultis Faw'!$E$2/'Shultis Faw'!$A$2)</f>
        <v>3.0091199999999999E-2</v>
      </c>
      <c r="M385" s="83">
        <f>_xlfn.IFNA(INDEX('Shultis Faw'!$F$2:$F$26,MATCH($C385,'Shultis Faw'!$A$2:$A$26,1))+($C385-INDEX('Shultis Faw'!$A$2:$A$26,MATCH($C385,'Shultis Faw'!$A$2:$A$26,1)))*(INDEX('Shultis Faw'!$F$2:$F$26,MATCH($C385,'Shultis Faw'!$A$2:$A$26,1)+1)-INDEX('Shultis Faw'!$F$2:$F$26,MATCH($C385,'Shultis Faw'!$A$2:$A$26,1)))/(INDEX('Shultis Faw'!$A$2:$A$26,MATCH($C385,'Shultis Faw'!$A$2:$A$26,1)+1)-INDEX('Shultis Faw'!$A$2:$A$26,MATCH($C385,'Shultis Faw'!$A$2:$A$26,1))),$C385*'Shultis Faw'!$F$2/'Shultis Faw'!$A$2)</f>
        <v>14.395200000000001</v>
      </c>
      <c r="N385" s="83">
        <f>J385*(H385*'Externe blootstelling'!$D$23/2)^K385+L385*(TANH(((H385*'Externe blootstelling'!$D$23)/(2*M385))-2)-TANH(-2))/(1-TANH(-2))</f>
        <v>1.347407106775391</v>
      </c>
      <c r="O385" s="83">
        <f>IF(N385=1,1+(I385-1)*H385*'Externe blootstelling'!$D$23/2,1+(I385-1)*(N385^(H385*'Externe blootstelling'!$D$23/2)-1)/(N385-1))</f>
        <v>1.9280234293389957</v>
      </c>
      <c r="P385" s="67">
        <f>G385*EXP(-H385*'Externe blootstelling'!$D$23/2)*O385</f>
        <v>5.2505630690861634E-4</v>
      </c>
      <c r="Q385" s="68"/>
    </row>
    <row r="386" spans="1:17" x14ac:dyDescent="0.2">
      <c r="A386" s="217"/>
      <c r="B386" s="64" t="s">
        <v>104</v>
      </c>
      <c r="C386" s="66">
        <v>1.2955000000000001</v>
      </c>
      <c r="D386" s="66">
        <f t="shared" si="26"/>
        <v>2.0727999999999998E-13</v>
      </c>
      <c r="E386" s="66">
        <v>9.1000000000000003E-5</v>
      </c>
      <c r="F386" s="66">
        <f>_xlfn.IFNA(INDEX('hp (pSv cm2)'!$B$2:$B$52,MATCH($C386,'hp (pSv cm2)'!$A$2:$A$52,1))+($C386-INDEX('hp (pSv cm2)'!$A$2:$A$52,MATCH($C386,'hp (pSv cm2)'!$A$2:$A$52,1)))*(INDEX('hp (pSv cm2)'!$B$2:$B$52,MATCH($C386,'hp (pSv cm2)'!$A$2:$A$52,1)+1)-INDEX('hp (pSv cm2)'!$B$2:$B$52,MATCH($C386,'hp (pSv cm2)'!$A$2:$A$52,1)))/(INDEX('hp (pSv cm2)'!$A$2:$A$52,MATCH($C386,'hp (pSv cm2)'!$A$2:$A$52,1)+1)-INDEX('hp (pSv cm2)'!$A$2:$A$52,MATCH($C386,'hp (pSv cm2)'!$A$2:$A$52,1))),$C386*'hp (pSv cm2)'!$B$2/'hp (pSv cm2)'!$A$2)</f>
        <v>5.4533300000000002</v>
      </c>
      <c r="G386" s="67">
        <f t="shared" si="27"/>
        <v>4.9625303000000009E-4</v>
      </c>
      <c r="H386" s="83">
        <f>_xlfn.IFNA(0.997*(INDEX('Mass attenuation coefficients'!$B$2:$B$37,MATCH($C386,'Mass attenuation coefficients'!$A$2:$A$37,1))+($C386-INDEX('Mass attenuation coefficients'!$A$2:$A$37,MATCH($C386,'Mass attenuation coefficients'!$A$2:$A$37,1)))*(INDEX('Mass attenuation coefficients'!$B$2:$B$37,MATCH($C386,'Mass attenuation coefficients'!$A$2:$A$37,1)+1)-INDEX('Mass attenuation coefficients'!$B$2:$B$37,MATCH($C386,'Mass attenuation coefficients'!$A$2:$A$37,1)))/(INDEX('Mass attenuation coefficients'!$A$2:$A$37,MATCH($C386,'Mass attenuation coefficients'!$A$2:$A$37,1)+1)-INDEX('Mass attenuation coefficients'!$A$2:$A$37,MATCH($C386,'Mass attenuation coefficients'!$A$2:$A$37,1)))),0.997*$C386*'Mass attenuation coefficients'!$B$2/'Mass attenuation coefficients'!$A$2)</f>
        <v>6.2007836739999996E-2</v>
      </c>
      <c r="I386" s="83">
        <f>_xlfn.IFNA(INDEX('Shultis Faw'!$C$2:$C$26,MATCH($C386,'Shultis Faw'!$A$2:$A$26,1))+($C386-INDEX('Shultis Faw'!$A$2:$A$26,MATCH($C386,'Shultis Faw'!$A$2:$A$26,1)))*(INDEX('Shultis Faw'!$C$2:$C$26,MATCH($C386,'Shultis Faw'!$A$2:$A$26,1)+1)-INDEX('Shultis Faw'!$C$2:$C$26,MATCH($C386,'Shultis Faw'!$A$2:$A$26,1)))/(INDEX('Shultis Faw'!$A$2:$A$26,MATCH($C386,'Shultis Faw'!$A$2:$A$26,1)+1)-INDEX('Shultis Faw'!$A$2:$A$26,MATCH($C386,'Shultis Faw'!$A$2:$A$26,1))),$C386*'Shultis Faw'!$C$2/'Shultis Faw'!$A$2)</f>
        <v>2.0060760000000002</v>
      </c>
      <c r="J386" s="83">
        <f>_xlfn.IFNA(INDEX('Shultis Faw'!$D$2:$D$26,MATCH($C386,'Shultis Faw'!$A$2:$A$26,1))+($C386-INDEX('Shultis Faw'!$A$2:$A$26,MATCH($C386,'Shultis Faw'!$A$2:$A$26,1)))*(INDEX('Shultis Faw'!$D$2:$D$26,MATCH($C386,'Shultis Faw'!$A$2:$A$26,1)+1)-INDEX('Shultis Faw'!$D$2:$D$26,MATCH($C386,'Shultis Faw'!$A$2:$A$26,1)))/(INDEX('Shultis Faw'!$A$2:$A$26,MATCH($C386,'Shultis Faw'!$A$2:$A$26,1)+1)-INDEX('Shultis Faw'!$A$2:$A$26,MATCH($C386,'Shultis Faw'!$A$2:$A$26,1))),$C386*'Shultis Faw'!$D$2/'Shultis Faw'!$A$2)</f>
        <v>1.339348</v>
      </c>
      <c r="K386" s="83">
        <f>_xlfn.IFNA(INDEX('Shultis Faw'!$B$2:$B$26,MATCH($C386,'Shultis Faw'!$A$2:$A$26,1))+($C386-INDEX('Shultis Faw'!$A$2:$A$26,MATCH($C386,'Shultis Faw'!$A$2:$A$26,1)))*(INDEX('Shultis Faw'!$B$2:$B$26,MATCH($C386,'Shultis Faw'!$A$2:$A$26,1)+1)-INDEX('Shultis Faw'!$B$2:$B$26,MATCH($C386,'Shultis Faw'!$A$2:$A$26,1)))/(INDEX('Shultis Faw'!$A$2:$A$26,MATCH($C386,'Shultis Faw'!$A$2:$A$26,1)+1)-INDEX('Shultis Faw'!$A$2:$A$26,MATCH($C386,'Shultis Faw'!$A$2:$A$26,1))),$C386*'Shultis Faw'!$B$2/'Shultis Faw'!$A$2)</f>
        <v>-7.0678999999999992E-2</v>
      </c>
      <c r="L386" s="83">
        <f>_xlfn.IFNA(INDEX('Shultis Faw'!$E$2:$E$26,MATCH($C386,'Shultis Faw'!$A$2:$A$26,1))+($C386-INDEX('Shultis Faw'!$A$2:$A$26,MATCH($C386,'Shultis Faw'!$A$2:$A$26,1)))*(INDEX('Shultis Faw'!$E$2:$E$26,MATCH($C386,'Shultis Faw'!$A$2:$A$26,1)+1)-INDEX('Shultis Faw'!$E$2:$E$26,MATCH($C386,'Shultis Faw'!$A$2:$A$26,1)))/(INDEX('Shultis Faw'!$A$2:$A$26,MATCH($C386,'Shultis Faw'!$A$2:$A$26,1)+1)-INDEX('Shultis Faw'!$A$2:$A$26,MATCH($C386,'Shultis Faw'!$A$2:$A$26,1))),$C386*'Shultis Faw'!$E$2/'Shultis Faw'!$A$2)</f>
        <v>2.9998799999999999E-2</v>
      </c>
      <c r="M386" s="83">
        <f>_xlfn.IFNA(INDEX('Shultis Faw'!$F$2:$F$26,MATCH($C386,'Shultis Faw'!$A$2:$A$26,1))+($C386-INDEX('Shultis Faw'!$A$2:$A$26,MATCH($C386,'Shultis Faw'!$A$2:$A$26,1)))*(INDEX('Shultis Faw'!$F$2:$F$26,MATCH($C386,'Shultis Faw'!$A$2:$A$26,1)+1)-INDEX('Shultis Faw'!$F$2:$F$26,MATCH($C386,'Shultis Faw'!$A$2:$A$26,1)))/(INDEX('Shultis Faw'!$A$2:$A$26,MATCH($C386,'Shultis Faw'!$A$2:$A$26,1)+1)-INDEX('Shultis Faw'!$A$2:$A$26,MATCH($C386,'Shultis Faw'!$A$2:$A$26,1))),$C386*'Shultis Faw'!$F$2/'Shultis Faw'!$A$2)</f>
        <v>14.3973</v>
      </c>
      <c r="N386" s="83">
        <f>J386*(H386*'Externe blootstelling'!$D$23/2)^K386+L386*(TANH(((H386*'Externe blootstelling'!$D$23)/(2*M386))-2)-TANH(-2))/(1-TANH(-2))</f>
        <v>1.3462976741389414</v>
      </c>
      <c r="O386" s="83">
        <f>IF(N386=1,1+(I386-1)*H386*'Externe blootstelling'!$D$23/2,1+(I386-1)*(N386^(H386*'Externe blootstelling'!$D$23/2)-1)/(N386-1))</f>
        <v>1.9256371142129192</v>
      </c>
      <c r="P386" s="67">
        <f>G386*EXP(-H386*'Externe blootstelling'!$D$23/2)*O386</f>
        <v>3.7699249047316115E-4</v>
      </c>
      <c r="Q386" s="68"/>
    </row>
    <row r="387" spans="1:17" x14ac:dyDescent="0.2">
      <c r="A387" s="217"/>
      <c r="B387" s="64" t="s">
        <v>104</v>
      </c>
      <c r="C387" s="66">
        <v>1.3164</v>
      </c>
      <c r="D387" s="66">
        <f t="shared" si="26"/>
        <v>2.1062399999999998E-13</v>
      </c>
      <c r="E387" s="66">
        <v>1.7000000000000001E-4</v>
      </c>
      <c r="F387" s="66">
        <f>_xlfn.IFNA(INDEX('hp (pSv cm2)'!$B$2:$B$52,MATCH($C387,'hp (pSv cm2)'!$A$2:$A$52,1))+($C387-INDEX('hp (pSv cm2)'!$A$2:$A$52,MATCH($C387,'hp (pSv cm2)'!$A$2:$A$52,1)))*(INDEX('hp (pSv cm2)'!$B$2:$B$52,MATCH($C387,'hp (pSv cm2)'!$A$2:$A$52,1)+1)-INDEX('hp (pSv cm2)'!$B$2:$B$52,MATCH($C387,'hp (pSv cm2)'!$A$2:$A$52,1)))/(INDEX('hp (pSv cm2)'!$A$2:$A$52,MATCH($C387,'hp (pSv cm2)'!$A$2:$A$52,1)+1)-INDEX('hp (pSv cm2)'!$A$2:$A$52,MATCH($C387,'hp (pSv cm2)'!$A$2:$A$52,1))),$C387*'hp (pSv cm2)'!$B$2/'hp (pSv cm2)'!$A$2)</f>
        <v>5.5214639999999999</v>
      </c>
      <c r="G387" s="67">
        <f t="shared" si="27"/>
        <v>9.386488800000001E-4</v>
      </c>
      <c r="H387" s="83">
        <f>_xlfn.IFNA(0.997*(INDEX('Mass attenuation coefficients'!$B$2:$B$37,MATCH($C387,'Mass attenuation coefficients'!$A$2:$A$37,1))+($C387-INDEX('Mass attenuation coefficients'!$A$2:$A$37,MATCH($C387,'Mass attenuation coefficients'!$A$2:$A$37,1)))*(INDEX('Mass attenuation coefficients'!$B$2:$B$37,MATCH($C387,'Mass attenuation coefficients'!$A$2:$A$37,1)+1)-INDEX('Mass attenuation coefficients'!$B$2:$B$37,MATCH($C387,'Mass attenuation coefficients'!$A$2:$A$37,1)))/(INDEX('Mass attenuation coefficients'!$A$2:$A$37,MATCH($C387,'Mass attenuation coefficients'!$A$2:$A$37,1)+1)-INDEX('Mass attenuation coefficients'!$A$2:$A$37,MATCH($C387,'Mass attenuation coefficients'!$A$2:$A$37,1)))),0.997*$C387*'Mass attenuation coefficients'!$B$2/'Mass attenuation coefficients'!$A$2)</f>
        <v>6.1533579791999998E-2</v>
      </c>
      <c r="I387" s="83">
        <f>_xlfn.IFNA(INDEX('Shultis Faw'!$C$2:$C$26,MATCH($C387,'Shultis Faw'!$A$2:$A$26,1))+($C387-INDEX('Shultis Faw'!$A$2:$A$26,MATCH($C387,'Shultis Faw'!$A$2:$A$26,1)))*(INDEX('Shultis Faw'!$C$2:$C$26,MATCH($C387,'Shultis Faw'!$A$2:$A$26,1)+1)-INDEX('Shultis Faw'!$C$2:$C$26,MATCH($C387,'Shultis Faw'!$A$2:$A$26,1)))/(INDEX('Shultis Faw'!$A$2:$A$26,MATCH($C387,'Shultis Faw'!$A$2:$A$26,1)+1)-INDEX('Shultis Faw'!$A$2:$A$26,MATCH($C387,'Shultis Faw'!$A$2:$A$26,1))),$C387*'Shultis Faw'!$C$2/'Shultis Faw'!$A$2)</f>
        <v>1.9992208</v>
      </c>
      <c r="J387" s="83">
        <f>_xlfn.IFNA(INDEX('Shultis Faw'!$D$2:$D$26,MATCH($C387,'Shultis Faw'!$A$2:$A$26,1))+($C387-INDEX('Shultis Faw'!$A$2:$A$26,MATCH($C387,'Shultis Faw'!$A$2:$A$26,1)))*(INDEX('Shultis Faw'!$D$2:$D$26,MATCH($C387,'Shultis Faw'!$A$2:$A$26,1)+1)-INDEX('Shultis Faw'!$D$2:$D$26,MATCH($C387,'Shultis Faw'!$A$2:$A$26,1)))/(INDEX('Shultis Faw'!$A$2:$A$26,MATCH($C387,'Shultis Faw'!$A$2:$A$26,1)+1)-INDEX('Shultis Faw'!$A$2:$A$26,MATCH($C387,'Shultis Faw'!$A$2:$A$26,1))),$C387*'Shultis Faw'!$D$2/'Shultis Faw'!$A$2)</f>
        <v>1.3321584</v>
      </c>
      <c r="K387" s="83">
        <f>_xlfn.IFNA(INDEX('Shultis Faw'!$B$2:$B$26,MATCH($C387,'Shultis Faw'!$A$2:$A$26,1))+($C387-INDEX('Shultis Faw'!$A$2:$A$26,MATCH($C387,'Shultis Faw'!$A$2:$A$26,1)))*(INDEX('Shultis Faw'!$B$2:$B$26,MATCH($C387,'Shultis Faw'!$A$2:$A$26,1)+1)-INDEX('Shultis Faw'!$B$2:$B$26,MATCH($C387,'Shultis Faw'!$A$2:$A$26,1)))/(INDEX('Shultis Faw'!$A$2:$A$26,MATCH($C387,'Shultis Faw'!$A$2:$A$26,1)+1)-INDEX('Shultis Faw'!$A$2:$A$26,MATCH($C387,'Shultis Faw'!$A$2:$A$26,1))),$C387*'Shultis Faw'!$B$2/'Shultis Faw'!$A$2)</f>
        <v>-6.9383200000000006E-2</v>
      </c>
      <c r="L387" s="83">
        <f>_xlfn.IFNA(INDEX('Shultis Faw'!$E$2:$E$26,MATCH($C387,'Shultis Faw'!$A$2:$A$26,1))+($C387-INDEX('Shultis Faw'!$A$2:$A$26,MATCH($C387,'Shultis Faw'!$A$2:$A$26,1)))*(INDEX('Shultis Faw'!$E$2:$E$26,MATCH($C387,'Shultis Faw'!$A$2:$A$26,1)+1)-INDEX('Shultis Faw'!$E$2:$E$26,MATCH($C387,'Shultis Faw'!$A$2:$A$26,1)))/(INDEX('Shultis Faw'!$A$2:$A$26,MATCH($C387,'Shultis Faw'!$A$2:$A$26,1)+1)-INDEX('Shultis Faw'!$A$2:$A$26,MATCH($C387,'Shultis Faw'!$A$2:$A$26,1))),$C387*'Shultis Faw'!$E$2/'Shultis Faw'!$A$2)</f>
        <v>2.9447040000000001E-2</v>
      </c>
      <c r="M387" s="83">
        <f>_xlfn.IFNA(INDEX('Shultis Faw'!$F$2:$F$26,MATCH($C387,'Shultis Faw'!$A$2:$A$26,1))+($C387-INDEX('Shultis Faw'!$A$2:$A$26,MATCH($C387,'Shultis Faw'!$A$2:$A$26,1)))*(INDEX('Shultis Faw'!$F$2:$F$26,MATCH($C387,'Shultis Faw'!$A$2:$A$26,1)+1)-INDEX('Shultis Faw'!$F$2:$F$26,MATCH($C387,'Shultis Faw'!$A$2:$A$26,1)))/(INDEX('Shultis Faw'!$A$2:$A$26,MATCH($C387,'Shultis Faw'!$A$2:$A$26,1)+1)-INDEX('Shultis Faw'!$A$2:$A$26,MATCH($C387,'Shultis Faw'!$A$2:$A$26,1))),$C387*'Shultis Faw'!$F$2/'Shultis Faw'!$A$2)</f>
        <v>14.409839999999999</v>
      </c>
      <c r="N387" s="83">
        <f>J387*(H387*'Externe blootstelling'!$D$23/2)^K387+L387*(TANH(((H387*'Externe blootstelling'!$D$23)/(2*M387))-2)-TANH(-2))/(1-TANH(-2))</f>
        <v>1.3396568668097273</v>
      </c>
      <c r="O387" s="83">
        <f>IF(N387=1,1+(I387-1)*H387*'Externe blootstelling'!$D$23/2,1+(I387-1)*(N387^(H387*'Externe blootstelling'!$D$23/2)-1)/(N387-1))</f>
        <v>1.9114798956996659</v>
      </c>
      <c r="P387" s="67">
        <f>G387*EXP(-H387*'Externe blootstelling'!$D$23/2)*O387</f>
        <v>7.1288173652744836E-4</v>
      </c>
      <c r="Q387" s="68"/>
    </row>
    <row r="388" spans="1:17" x14ac:dyDescent="0.2">
      <c r="A388" s="217"/>
      <c r="B388" s="64" t="s">
        <v>104</v>
      </c>
      <c r="C388" s="66">
        <v>1.387</v>
      </c>
      <c r="D388" s="66">
        <f t="shared" si="26"/>
        <v>2.2191999999999998E-13</v>
      </c>
      <c r="E388" s="66">
        <v>1.8999999999999998E-4</v>
      </c>
      <c r="F388" s="66">
        <f>_xlfn.IFNA(INDEX('hp (pSv cm2)'!$B$2:$B$52,MATCH($C388,'hp (pSv cm2)'!$A$2:$A$52,1))+($C388-INDEX('hp (pSv cm2)'!$A$2:$A$52,MATCH($C388,'hp (pSv cm2)'!$A$2:$A$52,1)))*(INDEX('hp (pSv cm2)'!$B$2:$B$52,MATCH($C388,'hp (pSv cm2)'!$A$2:$A$52,1)+1)-INDEX('hp (pSv cm2)'!$B$2:$B$52,MATCH($C388,'hp (pSv cm2)'!$A$2:$A$52,1)))/(INDEX('hp (pSv cm2)'!$A$2:$A$52,MATCH($C388,'hp (pSv cm2)'!$A$2:$A$52,1)+1)-INDEX('hp (pSv cm2)'!$A$2:$A$52,MATCH($C388,'hp (pSv cm2)'!$A$2:$A$52,1))),$C388*'hp (pSv cm2)'!$B$2/'hp (pSv cm2)'!$A$2)</f>
        <v>5.75162</v>
      </c>
      <c r="G388" s="67">
        <f t="shared" si="27"/>
        <v>1.0928077999999999E-3</v>
      </c>
      <c r="H388" s="83">
        <f>_xlfn.IFNA(0.997*(INDEX('Mass attenuation coefficients'!$B$2:$B$37,MATCH($C388,'Mass attenuation coefficients'!$A$2:$A$37,1))+($C388-INDEX('Mass attenuation coefficients'!$A$2:$A$37,MATCH($C388,'Mass attenuation coefficients'!$A$2:$A$37,1)))*(INDEX('Mass attenuation coefficients'!$B$2:$B$37,MATCH($C388,'Mass attenuation coefficients'!$A$2:$A$37,1)+1)-INDEX('Mass attenuation coefficients'!$B$2:$B$37,MATCH($C388,'Mass attenuation coefficients'!$A$2:$A$37,1)))/(INDEX('Mass attenuation coefficients'!$A$2:$A$37,MATCH($C388,'Mass attenuation coefficients'!$A$2:$A$37,1)+1)-INDEX('Mass attenuation coefficients'!$A$2:$A$37,MATCH($C388,'Mass attenuation coefficients'!$A$2:$A$37,1)))),0.997*$C388*'Mass attenuation coefficients'!$B$2/'Mass attenuation coefficients'!$A$2)</f>
        <v>5.9931544359999998E-2</v>
      </c>
      <c r="I388" s="83">
        <f>_xlfn.IFNA(INDEX('Shultis Faw'!$C$2:$C$26,MATCH($C388,'Shultis Faw'!$A$2:$A$26,1))+($C388-INDEX('Shultis Faw'!$A$2:$A$26,MATCH($C388,'Shultis Faw'!$A$2:$A$26,1)))*(INDEX('Shultis Faw'!$C$2:$C$26,MATCH($C388,'Shultis Faw'!$A$2:$A$26,1)+1)-INDEX('Shultis Faw'!$C$2:$C$26,MATCH($C388,'Shultis Faw'!$A$2:$A$26,1)))/(INDEX('Shultis Faw'!$A$2:$A$26,MATCH($C388,'Shultis Faw'!$A$2:$A$26,1)+1)-INDEX('Shultis Faw'!$A$2:$A$26,MATCH($C388,'Shultis Faw'!$A$2:$A$26,1))),$C388*'Shultis Faw'!$C$2/'Shultis Faw'!$A$2)</f>
        <v>1.976064</v>
      </c>
      <c r="J388" s="83">
        <f>_xlfn.IFNA(INDEX('Shultis Faw'!$D$2:$D$26,MATCH($C388,'Shultis Faw'!$A$2:$A$26,1))+($C388-INDEX('Shultis Faw'!$A$2:$A$26,MATCH($C388,'Shultis Faw'!$A$2:$A$26,1)))*(INDEX('Shultis Faw'!$D$2:$D$26,MATCH($C388,'Shultis Faw'!$A$2:$A$26,1)+1)-INDEX('Shultis Faw'!$D$2:$D$26,MATCH($C388,'Shultis Faw'!$A$2:$A$26,1)))/(INDEX('Shultis Faw'!$A$2:$A$26,MATCH($C388,'Shultis Faw'!$A$2:$A$26,1)+1)-INDEX('Shultis Faw'!$A$2:$A$26,MATCH($C388,'Shultis Faw'!$A$2:$A$26,1))),$C388*'Shultis Faw'!$D$2/'Shultis Faw'!$A$2)</f>
        <v>1.3078719999999999</v>
      </c>
      <c r="K388" s="83">
        <f>_xlfn.IFNA(INDEX('Shultis Faw'!$B$2:$B$26,MATCH($C388,'Shultis Faw'!$A$2:$A$26,1))+($C388-INDEX('Shultis Faw'!$A$2:$A$26,MATCH($C388,'Shultis Faw'!$A$2:$A$26,1)))*(INDEX('Shultis Faw'!$B$2:$B$26,MATCH($C388,'Shultis Faw'!$A$2:$A$26,1)+1)-INDEX('Shultis Faw'!$B$2:$B$26,MATCH($C388,'Shultis Faw'!$A$2:$A$26,1)))/(INDEX('Shultis Faw'!$A$2:$A$26,MATCH($C388,'Shultis Faw'!$A$2:$A$26,1)+1)-INDEX('Shultis Faw'!$A$2:$A$26,MATCH($C388,'Shultis Faw'!$A$2:$A$26,1))),$C388*'Shultis Faw'!$B$2/'Shultis Faw'!$A$2)</f>
        <v>-6.5006000000000008E-2</v>
      </c>
      <c r="L388" s="83">
        <f>_xlfn.IFNA(INDEX('Shultis Faw'!$E$2:$E$26,MATCH($C388,'Shultis Faw'!$A$2:$A$26,1))+($C388-INDEX('Shultis Faw'!$A$2:$A$26,MATCH($C388,'Shultis Faw'!$A$2:$A$26,1)))*(INDEX('Shultis Faw'!$E$2:$E$26,MATCH($C388,'Shultis Faw'!$A$2:$A$26,1)+1)-INDEX('Shultis Faw'!$E$2:$E$26,MATCH($C388,'Shultis Faw'!$A$2:$A$26,1)))/(INDEX('Shultis Faw'!$A$2:$A$26,MATCH($C388,'Shultis Faw'!$A$2:$A$26,1)+1)-INDEX('Shultis Faw'!$A$2:$A$26,MATCH($C388,'Shultis Faw'!$A$2:$A$26,1))),$C388*'Shultis Faw'!$E$2/'Shultis Faw'!$A$2)</f>
        <v>2.7583200000000002E-2</v>
      </c>
      <c r="M388" s="83">
        <f>_xlfn.IFNA(INDEX('Shultis Faw'!$F$2:$F$26,MATCH($C388,'Shultis Faw'!$A$2:$A$26,1))+($C388-INDEX('Shultis Faw'!$A$2:$A$26,MATCH($C388,'Shultis Faw'!$A$2:$A$26,1)))*(INDEX('Shultis Faw'!$F$2:$F$26,MATCH($C388,'Shultis Faw'!$A$2:$A$26,1)+1)-INDEX('Shultis Faw'!$F$2:$F$26,MATCH($C388,'Shultis Faw'!$A$2:$A$26,1)))/(INDEX('Shultis Faw'!$A$2:$A$26,MATCH($C388,'Shultis Faw'!$A$2:$A$26,1)+1)-INDEX('Shultis Faw'!$A$2:$A$26,MATCH($C388,'Shultis Faw'!$A$2:$A$26,1))),$C388*'Shultis Faw'!$F$2/'Shultis Faw'!$A$2)</f>
        <v>14.452199999999999</v>
      </c>
      <c r="N388" s="83">
        <f>J388*(H388*'Externe blootstelling'!$D$23/2)^K388+L388*(TANH(((H388*'Externe blootstelling'!$D$23)/(2*M388))-2)-TANH(-2))/(1-TANH(-2))</f>
        <v>1.3170237418697037</v>
      </c>
      <c r="O388" s="83">
        <f>IF(N388=1,1+(I388-1)*H388*'Externe blootstelling'!$D$23/2,1+(I388-1)*(N388^(H388*'Externe blootstelling'!$D$23/2)-1)/(N388-1))</f>
        <v>1.8648105664406702</v>
      </c>
      <c r="P388" s="67">
        <f>G388*EXP(-H388*'Externe blootstelling'!$D$23/2)*O388</f>
        <v>8.2939119861124991E-4</v>
      </c>
      <c r="Q388" s="68"/>
    </row>
    <row r="389" spans="1:17" x14ac:dyDescent="0.2">
      <c r="A389" s="217"/>
      <c r="B389" s="64" t="s">
        <v>104</v>
      </c>
      <c r="C389" s="66">
        <v>1.39734</v>
      </c>
      <c r="D389" s="66">
        <f t="shared" si="26"/>
        <v>2.2357439999999999E-13</v>
      </c>
      <c r="E389" s="66">
        <v>3.1000000000000001E-5</v>
      </c>
      <c r="F389" s="66">
        <f>_xlfn.IFNA(INDEX('hp (pSv cm2)'!$B$2:$B$52,MATCH($C389,'hp (pSv cm2)'!$A$2:$A$52,1))+($C389-INDEX('hp (pSv cm2)'!$A$2:$A$52,MATCH($C389,'hp (pSv cm2)'!$A$2:$A$52,1)))*(INDEX('hp (pSv cm2)'!$B$2:$B$52,MATCH($C389,'hp (pSv cm2)'!$A$2:$A$52,1)+1)-INDEX('hp (pSv cm2)'!$B$2:$B$52,MATCH($C389,'hp (pSv cm2)'!$A$2:$A$52,1)))/(INDEX('hp (pSv cm2)'!$A$2:$A$52,MATCH($C389,'hp (pSv cm2)'!$A$2:$A$52,1)+1)-INDEX('hp (pSv cm2)'!$A$2:$A$52,MATCH($C389,'hp (pSv cm2)'!$A$2:$A$52,1))),$C389*'hp (pSv cm2)'!$B$2/'hp (pSv cm2)'!$A$2)</f>
        <v>5.7853284</v>
      </c>
      <c r="G389" s="67">
        <f t="shared" si="27"/>
        <v>1.793451804E-4</v>
      </c>
      <c r="H389" s="83">
        <f>_xlfn.IFNA(0.997*(INDEX('Mass attenuation coefficients'!$B$2:$B$37,MATCH($C389,'Mass attenuation coefficients'!$A$2:$A$37,1))+($C389-INDEX('Mass attenuation coefficients'!$A$2:$A$37,MATCH($C389,'Mass attenuation coefficients'!$A$2:$A$37,1)))*(INDEX('Mass attenuation coefficients'!$B$2:$B$37,MATCH($C389,'Mass attenuation coefficients'!$A$2:$A$37,1)+1)-INDEX('Mass attenuation coefficients'!$B$2:$B$37,MATCH($C389,'Mass attenuation coefficients'!$A$2:$A$37,1)))/(INDEX('Mass attenuation coefficients'!$A$2:$A$37,MATCH($C389,'Mass attenuation coefficients'!$A$2:$A$37,1)+1)-INDEX('Mass attenuation coefficients'!$A$2:$A$37,MATCH($C389,'Mass attenuation coefficients'!$A$2:$A$37,1)))),0.997*$C389*'Mass attenuation coefficients'!$B$2/'Mass attenuation coefficients'!$A$2)</f>
        <v>5.9696911975200002E-2</v>
      </c>
      <c r="I389" s="83">
        <f>_xlfn.IFNA(INDEX('Shultis Faw'!$C$2:$C$26,MATCH($C389,'Shultis Faw'!$A$2:$A$26,1))+($C389-INDEX('Shultis Faw'!$A$2:$A$26,MATCH($C389,'Shultis Faw'!$A$2:$A$26,1)))*(INDEX('Shultis Faw'!$C$2:$C$26,MATCH($C389,'Shultis Faw'!$A$2:$A$26,1)+1)-INDEX('Shultis Faw'!$C$2:$C$26,MATCH($C389,'Shultis Faw'!$A$2:$A$26,1)))/(INDEX('Shultis Faw'!$A$2:$A$26,MATCH($C389,'Shultis Faw'!$A$2:$A$26,1)+1)-INDEX('Shultis Faw'!$A$2:$A$26,MATCH($C389,'Shultis Faw'!$A$2:$A$26,1))),$C389*'Shultis Faw'!$C$2/'Shultis Faw'!$A$2)</f>
        <v>1.9726724800000002</v>
      </c>
      <c r="J389" s="83">
        <f>_xlfn.IFNA(INDEX('Shultis Faw'!$D$2:$D$26,MATCH($C389,'Shultis Faw'!$A$2:$A$26,1))+($C389-INDEX('Shultis Faw'!$A$2:$A$26,MATCH($C389,'Shultis Faw'!$A$2:$A$26,1)))*(INDEX('Shultis Faw'!$D$2:$D$26,MATCH($C389,'Shultis Faw'!$A$2:$A$26,1)+1)-INDEX('Shultis Faw'!$D$2:$D$26,MATCH($C389,'Shultis Faw'!$A$2:$A$26,1)))/(INDEX('Shultis Faw'!$A$2:$A$26,MATCH($C389,'Shultis Faw'!$A$2:$A$26,1)+1)-INDEX('Shultis Faw'!$A$2:$A$26,MATCH($C389,'Shultis Faw'!$A$2:$A$26,1))),$C389*'Shultis Faw'!$D$2/'Shultis Faw'!$A$2)</f>
        <v>1.3043150399999999</v>
      </c>
      <c r="K389" s="83">
        <f>_xlfn.IFNA(INDEX('Shultis Faw'!$B$2:$B$26,MATCH($C389,'Shultis Faw'!$A$2:$A$26,1))+($C389-INDEX('Shultis Faw'!$A$2:$A$26,MATCH($C389,'Shultis Faw'!$A$2:$A$26,1)))*(INDEX('Shultis Faw'!$B$2:$B$26,MATCH($C389,'Shultis Faw'!$A$2:$A$26,1)+1)-INDEX('Shultis Faw'!$B$2:$B$26,MATCH($C389,'Shultis Faw'!$A$2:$A$26,1)))/(INDEX('Shultis Faw'!$A$2:$A$26,MATCH($C389,'Shultis Faw'!$A$2:$A$26,1)+1)-INDEX('Shultis Faw'!$A$2:$A$26,MATCH($C389,'Shultis Faw'!$A$2:$A$26,1))),$C389*'Shultis Faw'!$B$2/'Shultis Faw'!$A$2)</f>
        <v>-6.4364919999999992E-2</v>
      </c>
      <c r="L389" s="83">
        <f>_xlfn.IFNA(INDEX('Shultis Faw'!$E$2:$E$26,MATCH($C389,'Shultis Faw'!$A$2:$A$26,1))+($C389-INDEX('Shultis Faw'!$A$2:$A$26,MATCH($C389,'Shultis Faw'!$A$2:$A$26,1)))*(INDEX('Shultis Faw'!$E$2:$E$26,MATCH($C389,'Shultis Faw'!$A$2:$A$26,1)+1)-INDEX('Shultis Faw'!$E$2:$E$26,MATCH($C389,'Shultis Faw'!$A$2:$A$26,1)))/(INDEX('Shultis Faw'!$A$2:$A$26,MATCH($C389,'Shultis Faw'!$A$2:$A$26,1)+1)-INDEX('Shultis Faw'!$A$2:$A$26,MATCH($C389,'Shultis Faw'!$A$2:$A$26,1))),$C389*'Shultis Faw'!$E$2/'Shultis Faw'!$A$2)</f>
        <v>2.7310224000000001E-2</v>
      </c>
      <c r="M389" s="83">
        <f>_xlfn.IFNA(INDEX('Shultis Faw'!$F$2:$F$26,MATCH($C389,'Shultis Faw'!$A$2:$A$26,1))+($C389-INDEX('Shultis Faw'!$A$2:$A$26,MATCH($C389,'Shultis Faw'!$A$2:$A$26,1)))*(INDEX('Shultis Faw'!$F$2:$F$26,MATCH($C389,'Shultis Faw'!$A$2:$A$26,1)+1)-INDEX('Shultis Faw'!$F$2:$F$26,MATCH($C389,'Shultis Faw'!$A$2:$A$26,1)))/(INDEX('Shultis Faw'!$A$2:$A$26,MATCH($C389,'Shultis Faw'!$A$2:$A$26,1)+1)-INDEX('Shultis Faw'!$A$2:$A$26,MATCH($C389,'Shultis Faw'!$A$2:$A$26,1))),$C389*'Shultis Faw'!$F$2/'Shultis Faw'!$A$2)</f>
        <v>14.458404</v>
      </c>
      <c r="N389" s="83">
        <f>J389*(H389*'Externe blootstelling'!$D$23/2)^K389+L389*(TANH(((H389*'Externe blootstelling'!$D$23)/(2*M389))-2)-TANH(-2))/(1-TANH(-2))</f>
        <v>1.3136830785108855</v>
      </c>
      <c r="O389" s="83">
        <f>IF(N389=1,1+(I389-1)*H389*'Externe blootstelling'!$D$23/2,1+(I389-1)*(N389^(H389*'Externe blootstelling'!$D$23/2)-1)/(N389-1))</f>
        <v>1.8581224129785339</v>
      </c>
      <c r="P389" s="67">
        <f>G389*EXP(-H389*'Externe blootstelling'!$D$23/2)*O389</f>
        <v>1.3610479954637077E-4</v>
      </c>
      <c r="Q389" s="68"/>
    </row>
    <row r="390" spans="1:17" x14ac:dyDescent="0.2">
      <c r="A390" s="217"/>
      <c r="B390" s="64" t="s">
        <v>104</v>
      </c>
      <c r="C390" s="66">
        <v>1.4085000000000001</v>
      </c>
      <c r="D390" s="66">
        <f t="shared" si="26"/>
        <v>2.2535999999999999E-13</v>
      </c>
      <c r="E390" s="66">
        <v>2.3000000000000001E-4</v>
      </c>
      <c r="F390" s="66">
        <f>_xlfn.IFNA(INDEX('hp (pSv cm2)'!$B$2:$B$52,MATCH($C390,'hp (pSv cm2)'!$A$2:$A$52,1))+($C390-INDEX('hp (pSv cm2)'!$A$2:$A$52,MATCH($C390,'hp (pSv cm2)'!$A$2:$A$52,1)))*(INDEX('hp (pSv cm2)'!$B$2:$B$52,MATCH($C390,'hp (pSv cm2)'!$A$2:$A$52,1)+1)-INDEX('hp (pSv cm2)'!$B$2:$B$52,MATCH($C390,'hp (pSv cm2)'!$A$2:$A$52,1)))/(INDEX('hp (pSv cm2)'!$A$2:$A$52,MATCH($C390,'hp (pSv cm2)'!$A$2:$A$52,1)+1)-INDEX('hp (pSv cm2)'!$A$2:$A$52,MATCH($C390,'hp (pSv cm2)'!$A$2:$A$52,1))),$C390*'hp (pSv cm2)'!$B$2/'hp (pSv cm2)'!$A$2)</f>
        <v>5.8217100000000004</v>
      </c>
      <c r="G390" s="67">
        <f t="shared" si="27"/>
        <v>1.3389933000000002E-3</v>
      </c>
      <c r="H390" s="83">
        <f>_xlfn.IFNA(0.997*(INDEX('Mass attenuation coefficients'!$B$2:$B$37,MATCH($C390,'Mass attenuation coefficients'!$A$2:$A$37,1))+($C390-INDEX('Mass attenuation coefficients'!$A$2:$A$37,MATCH($C390,'Mass attenuation coefficients'!$A$2:$A$37,1)))*(INDEX('Mass attenuation coefficients'!$B$2:$B$37,MATCH($C390,'Mass attenuation coefficients'!$A$2:$A$37,1)+1)-INDEX('Mass attenuation coefficients'!$B$2:$B$37,MATCH($C390,'Mass attenuation coefficients'!$A$2:$A$37,1)))/(INDEX('Mass attenuation coefficients'!$A$2:$A$37,MATCH($C390,'Mass attenuation coefficients'!$A$2:$A$37,1)+1)-INDEX('Mass attenuation coefficients'!$A$2:$A$37,MATCH($C390,'Mass attenuation coefficients'!$A$2:$A$37,1)))),0.997*$C390*'Mass attenuation coefficients'!$B$2/'Mass attenuation coefficients'!$A$2)</f>
        <v>5.9443672379999993E-2</v>
      </c>
      <c r="I390" s="83">
        <f>_xlfn.IFNA(INDEX('Shultis Faw'!$C$2:$C$26,MATCH($C390,'Shultis Faw'!$A$2:$A$26,1))+($C390-INDEX('Shultis Faw'!$A$2:$A$26,MATCH($C390,'Shultis Faw'!$A$2:$A$26,1)))*(INDEX('Shultis Faw'!$C$2:$C$26,MATCH($C390,'Shultis Faw'!$A$2:$A$26,1)+1)-INDEX('Shultis Faw'!$C$2:$C$26,MATCH($C390,'Shultis Faw'!$A$2:$A$26,1)))/(INDEX('Shultis Faw'!$A$2:$A$26,MATCH($C390,'Shultis Faw'!$A$2:$A$26,1)+1)-INDEX('Shultis Faw'!$A$2:$A$26,MATCH($C390,'Shultis Faw'!$A$2:$A$26,1))),$C390*'Shultis Faw'!$C$2/'Shultis Faw'!$A$2)</f>
        <v>1.969012</v>
      </c>
      <c r="J390" s="83">
        <f>_xlfn.IFNA(INDEX('Shultis Faw'!$D$2:$D$26,MATCH($C390,'Shultis Faw'!$A$2:$A$26,1))+($C390-INDEX('Shultis Faw'!$A$2:$A$26,MATCH($C390,'Shultis Faw'!$A$2:$A$26,1)))*(INDEX('Shultis Faw'!$D$2:$D$26,MATCH($C390,'Shultis Faw'!$A$2:$A$26,1)+1)-INDEX('Shultis Faw'!$D$2:$D$26,MATCH($C390,'Shultis Faw'!$A$2:$A$26,1)))/(INDEX('Shultis Faw'!$A$2:$A$26,MATCH($C390,'Shultis Faw'!$A$2:$A$26,1)+1)-INDEX('Shultis Faw'!$A$2:$A$26,MATCH($C390,'Shultis Faw'!$A$2:$A$26,1))),$C390*'Shultis Faw'!$D$2/'Shultis Faw'!$A$2)</f>
        <v>1.300476</v>
      </c>
      <c r="K390" s="83">
        <f>_xlfn.IFNA(INDEX('Shultis Faw'!$B$2:$B$26,MATCH($C390,'Shultis Faw'!$A$2:$A$26,1))+($C390-INDEX('Shultis Faw'!$A$2:$A$26,MATCH($C390,'Shultis Faw'!$A$2:$A$26,1)))*(INDEX('Shultis Faw'!$B$2:$B$26,MATCH($C390,'Shultis Faw'!$A$2:$A$26,1)+1)-INDEX('Shultis Faw'!$B$2:$B$26,MATCH($C390,'Shultis Faw'!$A$2:$A$26,1)))/(INDEX('Shultis Faw'!$A$2:$A$26,MATCH($C390,'Shultis Faw'!$A$2:$A$26,1)+1)-INDEX('Shultis Faw'!$A$2:$A$26,MATCH($C390,'Shultis Faw'!$A$2:$A$26,1))),$C390*'Shultis Faw'!$B$2/'Shultis Faw'!$A$2)</f>
        <v>-6.3672999999999993E-2</v>
      </c>
      <c r="L390" s="83">
        <f>_xlfn.IFNA(INDEX('Shultis Faw'!$E$2:$E$26,MATCH($C390,'Shultis Faw'!$A$2:$A$26,1))+($C390-INDEX('Shultis Faw'!$A$2:$A$26,MATCH($C390,'Shultis Faw'!$A$2:$A$26,1)))*(INDEX('Shultis Faw'!$E$2:$E$26,MATCH($C390,'Shultis Faw'!$A$2:$A$26,1)+1)-INDEX('Shultis Faw'!$E$2:$E$26,MATCH($C390,'Shultis Faw'!$A$2:$A$26,1)))/(INDEX('Shultis Faw'!$A$2:$A$26,MATCH($C390,'Shultis Faw'!$A$2:$A$26,1)+1)-INDEX('Shultis Faw'!$A$2:$A$26,MATCH($C390,'Shultis Faw'!$A$2:$A$26,1))),$C390*'Shultis Faw'!$E$2/'Shultis Faw'!$A$2)</f>
        <v>2.7015599999999997E-2</v>
      </c>
      <c r="M390" s="83">
        <f>_xlfn.IFNA(INDEX('Shultis Faw'!$F$2:$F$26,MATCH($C390,'Shultis Faw'!$A$2:$A$26,1))+($C390-INDEX('Shultis Faw'!$A$2:$A$26,MATCH($C390,'Shultis Faw'!$A$2:$A$26,1)))*(INDEX('Shultis Faw'!$F$2:$F$26,MATCH($C390,'Shultis Faw'!$A$2:$A$26,1)+1)-INDEX('Shultis Faw'!$F$2:$F$26,MATCH($C390,'Shultis Faw'!$A$2:$A$26,1)))/(INDEX('Shultis Faw'!$A$2:$A$26,MATCH($C390,'Shultis Faw'!$A$2:$A$26,1)+1)-INDEX('Shultis Faw'!$A$2:$A$26,MATCH($C390,'Shultis Faw'!$A$2:$A$26,1))),$C390*'Shultis Faw'!$F$2/'Shultis Faw'!$A$2)</f>
        <v>14.4651</v>
      </c>
      <c r="N390" s="83">
        <f>J390*(H390*'Externe blootstelling'!$D$23/2)^K390+L390*(TANH(((H390*'Externe blootstelling'!$D$23)/(2*M390))-2)-TANH(-2))/(1-TANH(-2))</f>
        <v>1.3100701175121408</v>
      </c>
      <c r="O390" s="83">
        <f>IF(N390=1,1+(I390-1)*H390*'Externe blootstelling'!$D$23/2,1+(I390-1)*(N390^(H390*'Externe blootstelling'!$D$23/2)-1)/(N390-1))</f>
        <v>1.8509453718412283</v>
      </c>
      <c r="P390" s="67">
        <f>G390*EXP(-H390*'Externe blootstelling'!$D$23/2)*O390</f>
        <v>1.0160875306262768E-3</v>
      </c>
      <c r="Q390" s="68"/>
    </row>
    <row r="391" spans="1:17" x14ac:dyDescent="0.2">
      <c r="A391" s="217"/>
      <c r="B391" s="64" t="s">
        <v>104</v>
      </c>
      <c r="C391" s="66">
        <v>1.415</v>
      </c>
      <c r="D391" s="66">
        <f t="shared" si="26"/>
        <v>2.264E-13</v>
      </c>
      <c r="E391" s="66">
        <v>4.0000000000000002E-4</v>
      </c>
      <c r="F391" s="66">
        <f>_xlfn.IFNA(INDEX('hp (pSv cm2)'!$B$2:$B$52,MATCH($C391,'hp (pSv cm2)'!$A$2:$A$52,1))+($C391-INDEX('hp (pSv cm2)'!$A$2:$A$52,MATCH($C391,'hp (pSv cm2)'!$A$2:$A$52,1)))*(INDEX('hp (pSv cm2)'!$B$2:$B$52,MATCH($C391,'hp (pSv cm2)'!$A$2:$A$52,1)+1)-INDEX('hp (pSv cm2)'!$B$2:$B$52,MATCH($C391,'hp (pSv cm2)'!$A$2:$A$52,1)))/(INDEX('hp (pSv cm2)'!$A$2:$A$52,MATCH($C391,'hp (pSv cm2)'!$A$2:$A$52,1)+1)-INDEX('hp (pSv cm2)'!$A$2:$A$52,MATCH($C391,'hp (pSv cm2)'!$A$2:$A$52,1))),$C391*'hp (pSv cm2)'!$B$2/'hp (pSv cm2)'!$A$2)</f>
        <v>5.8429000000000002</v>
      </c>
      <c r="G391" s="67">
        <f t="shared" si="27"/>
        <v>2.33716E-3</v>
      </c>
      <c r="H391" s="83">
        <f>_xlfn.IFNA(0.997*(INDEX('Mass attenuation coefficients'!$B$2:$B$37,MATCH($C391,'Mass attenuation coefficients'!$A$2:$A$37,1))+($C391-INDEX('Mass attenuation coefficients'!$A$2:$A$37,MATCH($C391,'Mass attenuation coefficients'!$A$2:$A$37,1)))*(INDEX('Mass attenuation coefficients'!$B$2:$B$37,MATCH($C391,'Mass attenuation coefficients'!$A$2:$A$37,1)+1)-INDEX('Mass attenuation coefficients'!$B$2:$B$37,MATCH($C391,'Mass attenuation coefficients'!$A$2:$A$37,1)))/(INDEX('Mass attenuation coefficients'!$A$2:$A$37,MATCH($C391,'Mass attenuation coefficients'!$A$2:$A$37,1)+1)-INDEX('Mass attenuation coefficients'!$A$2:$A$37,MATCH($C391,'Mass attenuation coefficients'!$A$2:$A$37,1)))),0.997*$C391*'Mass attenuation coefficients'!$B$2/'Mass attenuation coefficients'!$A$2)</f>
        <v>5.9296176199999995E-2</v>
      </c>
      <c r="I391" s="83">
        <f>_xlfn.IFNA(INDEX('Shultis Faw'!$C$2:$C$26,MATCH($C391,'Shultis Faw'!$A$2:$A$26,1))+($C391-INDEX('Shultis Faw'!$A$2:$A$26,MATCH($C391,'Shultis Faw'!$A$2:$A$26,1)))*(INDEX('Shultis Faw'!$C$2:$C$26,MATCH($C391,'Shultis Faw'!$A$2:$A$26,1)+1)-INDEX('Shultis Faw'!$C$2:$C$26,MATCH($C391,'Shultis Faw'!$A$2:$A$26,1)))/(INDEX('Shultis Faw'!$A$2:$A$26,MATCH($C391,'Shultis Faw'!$A$2:$A$26,1)+1)-INDEX('Shultis Faw'!$A$2:$A$26,MATCH($C391,'Shultis Faw'!$A$2:$A$26,1))),$C391*'Shultis Faw'!$C$2/'Shultis Faw'!$A$2)</f>
        <v>1.9668800000000002</v>
      </c>
      <c r="J391" s="83">
        <f>_xlfn.IFNA(INDEX('Shultis Faw'!$D$2:$D$26,MATCH($C391,'Shultis Faw'!$A$2:$A$26,1))+($C391-INDEX('Shultis Faw'!$A$2:$A$26,MATCH($C391,'Shultis Faw'!$A$2:$A$26,1)))*(INDEX('Shultis Faw'!$D$2:$D$26,MATCH($C391,'Shultis Faw'!$A$2:$A$26,1)+1)-INDEX('Shultis Faw'!$D$2:$D$26,MATCH($C391,'Shultis Faw'!$A$2:$A$26,1)))/(INDEX('Shultis Faw'!$A$2:$A$26,MATCH($C391,'Shultis Faw'!$A$2:$A$26,1)+1)-INDEX('Shultis Faw'!$A$2:$A$26,MATCH($C391,'Shultis Faw'!$A$2:$A$26,1))),$C391*'Shultis Faw'!$D$2/'Shultis Faw'!$A$2)</f>
        <v>1.2982399999999998</v>
      </c>
      <c r="K391" s="83">
        <f>_xlfn.IFNA(INDEX('Shultis Faw'!$B$2:$B$26,MATCH($C391,'Shultis Faw'!$A$2:$A$26,1))+($C391-INDEX('Shultis Faw'!$A$2:$A$26,MATCH($C391,'Shultis Faw'!$A$2:$A$26,1)))*(INDEX('Shultis Faw'!$B$2:$B$26,MATCH($C391,'Shultis Faw'!$A$2:$A$26,1)+1)-INDEX('Shultis Faw'!$B$2:$B$26,MATCH($C391,'Shultis Faw'!$A$2:$A$26,1)))/(INDEX('Shultis Faw'!$A$2:$A$26,MATCH($C391,'Shultis Faw'!$A$2:$A$26,1)+1)-INDEX('Shultis Faw'!$A$2:$A$26,MATCH($C391,'Shultis Faw'!$A$2:$A$26,1))),$C391*'Shultis Faw'!$B$2/'Shultis Faw'!$A$2)</f>
        <v>-6.3269999999999993E-2</v>
      </c>
      <c r="L391" s="83">
        <f>_xlfn.IFNA(INDEX('Shultis Faw'!$E$2:$E$26,MATCH($C391,'Shultis Faw'!$A$2:$A$26,1))+($C391-INDEX('Shultis Faw'!$A$2:$A$26,MATCH($C391,'Shultis Faw'!$A$2:$A$26,1)))*(INDEX('Shultis Faw'!$E$2:$E$26,MATCH($C391,'Shultis Faw'!$A$2:$A$26,1)+1)-INDEX('Shultis Faw'!$E$2:$E$26,MATCH($C391,'Shultis Faw'!$A$2:$A$26,1)))/(INDEX('Shultis Faw'!$A$2:$A$26,MATCH($C391,'Shultis Faw'!$A$2:$A$26,1)+1)-INDEX('Shultis Faw'!$A$2:$A$26,MATCH($C391,'Shultis Faw'!$A$2:$A$26,1))),$C391*'Shultis Faw'!$E$2/'Shultis Faw'!$A$2)</f>
        <v>2.6844E-2</v>
      </c>
      <c r="M391" s="83">
        <f>_xlfn.IFNA(INDEX('Shultis Faw'!$F$2:$F$26,MATCH($C391,'Shultis Faw'!$A$2:$A$26,1))+($C391-INDEX('Shultis Faw'!$A$2:$A$26,MATCH($C391,'Shultis Faw'!$A$2:$A$26,1)))*(INDEX('Shultis Faw'!$F$2:$F$26,MATCH($C391,'Shultis Faw'!$A$2:$A$26,1)+1)-INDEX('Shultis Faw'!$F$2:$F$26,MATCH($C391,'Shultis Faw'!$A$2:$A$26,1)))/(INDEX('Shultis Faw'!$A$2:$A$26,MATCH($C391,'Shultis Faw'!$A$2:$A$26,1)+1)-INDEX('Shultis Faw'!$A$2:$A$26,MATCH($C391,'Shultis Faw'!$A$2:$A$26,1))),$C391*'Shultis Faw'!$F$2/'Shultis Faw'!$A$2)</f>
        <v>14.468999999999999</v>
      </c>
      <c r="N391" s="83">
        <f>J391*(H391*'Externe blootstelling'!$D$23/2)^K391+L391*(TANH(((H391*'Externe blootstelling'!$D$23)/(2*M391))-2)-TANH(-2))/(1-TANH(-2))</f>
        <v>1.3079622736636722</v>
      </c>
      <c r="O391" s="83">
        <f>IF(N391=1,1+(I391-1)*H391*'Externe blootstelling'!$D$23/2,1+(I391-1)*(N391^(H391*'Externe blootstelling'!$D$23/2)-1)/(N391-1))</f>
        <v>1.8467849622347732</v>
      </c>
      <c r="P391" s="67">
        <f>G391*EXP(-H391*'Externe blootstelling'!$D$23/2)*O391</f>
        <v>1.7734736598818033E-3</v>
      </c>
      <c r="Q391" s="68"/>
    </row>
    <row r="392" spans="1:17" x14ac:dyDescent="0.2">
      <c r="A392" s="217"/>
      <c r="B392" s="64" t="s">
        <v>104</v>
      </c>
      <c r="C392" s="66">
        <v>1.4185999999999999</v>
      </c>
      <c r="D392" s="66">
        <f t="shared" si="26"/>
        <v>2.2697599999999995E-13</v>
      </c>
      <c r="E392" s="66">
        <v>1.0999999999999999E-4</v>
      </c>
      <c r="F392" s="66">
        <f>_xlfn.IFNA(INDEX('hp (pSv cm2)'!$B$2:$B$52,MATCH($C392,'hp (pSv cm2)'!$A$2:$A$52,1))+($C392-INDEX('hp (pSv cm2)'!$A$2:$A$52,MATCH($C392,'hp (pSv cm2)'!$A$2:$A$52,1)))*(INDEX('hp (pSv cm2)'!$B$2:$B$52,MATCH($C392,'hp (pSv cm2)'!$A$2:$A$52,1)+1)-INDEX('hp (pSv cm2)'!$B$2:$B$52,MATCH($C392,'hp (pSv cm2)'!$A$2:$A$52,1)))/(INDEX('hp (pSv cm2)'!$A$2:$A$52,MATCH($C392,'hp (pSv cm2)'!$A$2:$A$52,1)+1)-INDEX('hp (pSv cm2)'!$A$2:$A$52,MATCH($C392,'hp (pSv cm2)'!$A$2:$A$52,1))),$C392*'hp (pSv cm2)'!$B$2/'hp (pSv cm2)'!$A$2)</f>
        <v>5.8546359999999993</v>
      </c>
      <c r="G392" s="67">
        <f t="shared" si="27"/>
        <v>6.4400995999999982E-4</v>
      </c>
      <c r="H392" s="83">
        <f>_xlfn.IFNA(0.997*(INDEX('Mass attenuation coefficients'!$B$2:$B$37,MATCH($C392,'Mass attenuation coefficients'!$A$2:$A$37,1))+($C392-INDEX('Mass attenuation coefficients'!$A$2:$A$37,MATCH($C392,'Mass attenuation coefficients'!$A$2:$A$37,1)))*(INDEX('Mass attenuation coefficients'!$B$2:$B$37,MATCH($C392,'Mass attenuation coefficients'!$A$2:$A$37,1)+1)-INDEX('Mass attenuation coefficients'!$B$2:$B$37,MATCH($C392,'Mass attenuation coefficients'!$A$2:$A$37,1)))/(INDEX('Mass attenuation coefficients'!$A$2:$A$37,MATCH($C392,'Mass attenuation coefficients'!$A$2:$A$37,1)+1)-INDEX('Mass attenuation coefficients'!$A$2:$A$37,MATCH($C392,'Mass attenuation coefficients'!$A$2:$A$37,1)))),0.997*$C392*'Mass attenuation coefficients'!$B$2/'Mass attenuation coefficients'!$A$2)</f>
        <v>5.9214486008000007E-2</v>
      </c>
      <c r="I392" s="83">
        <f>_xlfn.IFNA(INDEX('Shultis Faw'!$C$2:$C$26,MATCH($C392,'Shultis Faw'!$A$2:$A$26,1))+($C392-INDEX('Shultis Faw'!$A$2:$A$26,MATCH($C392,'Shultis Faw'!$A$2:$A$26,1)))*(INDEX('Shultis Faw'!$C$2:$C$26,MATCH($C392,'Shultis Faw'!$A$2:$A$26,1)+1)-INDEX('Shultis Faw'!$C$2:$C$26,MATCH($C392,'Shultis Faw'!$A$2:$A$26,1)))/(INDEX('Shultis Faw'!$A$2:$A$26,MATCH($C392,'Shultis Faw'!$A$2:$A$26,1)+1)-INDEX('Shultis Faw'!$A$2:$A$26,MATCH($C392,'Shultis Faw'!$A$2:$A$26,1))),$C392*'Shultis Faw'!$C$2/'Shultis Faw'!$A$2)</f>
        <v>1.9656992000000002</v>
      </c>
      <c r="J392" s="83">
        <f>_xlfn.IFNA(INDEX('Shultis Faw'!$D$2:$D$26,MATCH($C392,'Shultis Faw'!$A$2:$A$26,1))+($C392-INDEX('Shultis Faw'!$A$2:$A$26,MATCH($C392,'Shultis Faw'!$A$2:$A$26,1)))*(INDEX('Shultis Faw'!$D$2:$D$26,MATCH($C392,'Shultis Faw'!$A$2:$A$26,1)+1)-INDEX('Shultis Faw'!$D$2:$D$26,MATCH($C392,'Shultis Faw'!$A$2:$A$26,1)))/(INDEX('Shultis Faw'!$A$2:$A$26,MATCH($C392,'Shultis Faw'!$A$2:$A$26,1)+1)-INDEX('Shultis Faw'!$A$2:$A$26,MATCH($C392,'Shultis Faw'!$A$2:$A$26,1))),$C392*'Shultis Faw'!$D$2/'Shultis Faw'!$A$2)</f>
        <v>1.2970016</v>
      </c>
      <c r="K392" s="83">
        <f>_xlfn.IFNA(INDEX('Shultis Faw'!$B$2:$B$26,MATCH($C392,'Shultis Faw'!$A$2:$A$26,1))+($C392-INDEX('Shultis Faw'!$A$2:$A$26,MATCH($C392,'Shultis Faw'!$A$2:$A$26,1)))*(INDEX('Shultis Faw'!$B$2:$B$26,MATCH($C392,'Shultis Faw'!$A$2:$A$26,1)+1)-INDEX('Shultis Faw'!$B$2:$B$26,MATCH($C392,'Shultis Faw'!$A$2:$A$26,1)))/(INDEX('Shultis Faw'!$A$2:$A$26,MATCH($C392,'Shultis Faw'!$A$2:$A$26,1)+1)-INDEX('Shultis Faw'!$A$2:$A$26,MATCH($C392,'Shultis Faw'!$A$2:$A$26,1))),$C392*'Shultis Faw'!$B$2/'Shultis Faw'!$A$2)</f>
        <v>-6.3046800000000014E-2</v>
      </c>
      <c r="L392" s="83">
        <f>_xlfn.IFNA(INDEX('Shultis Faw'!$E$2:$E$26,MATCH($C392,'Shultis Faw'!$A$2:$A$26,1))+($C392-INDEX('Shultis Faw'!$A$2:$A$26,MATCH($C392,'Shultis Faw'!$A$2:$A$26,1)))*(INDEX('Shultis Faw'!$E$2:$E$26,MATCH($C392,'Shultis Faw'!$A$2:$A$26,1)+1)-INDEX('Shultis Faw'!$E$2:$E$26,MATCH($C392,'Shultis Faw'!$A$2:$A$26,1)))/(INDEX('Shultis Faw'!$A$2:$A$26,MATCH($C392,'Shultis Faw'!$A$2:$A$26,1)+1)-INDEX('Shultis Faw'!$A$2:$A$26,MATCH($C392,'Shultis Faw'!$A$2:$A$26,1))),$C392*'Shultis Faw'!$E$2/'Shultis Faw'!$A$2)</f>
        <v>2.6748960000000002E-2</v>
      </c>
      <c r="M392" s="83">
        <f>_xlfn.IFNA(INDEX('Shultis Faw'!$F$2:$F$26,MATCH($C392,'Shultis Faw'!$A$2:$A$26,1))+($C392-INDEX('Shultis Faw'!$A$2:$A$26,MATCH($C392,'Shultis Faw'!$A$2:$A$26,1)))*(INDEX('Shultis Faw'!$F$2:$F$26,MATCH($C392,'Shultis Faw'!$A$2:$A$26,1)+1)-INDEX('Shultis Faw'!$F$2:$F$26,MATCH($C392,'Shultis Faw'!$A$2:$A$26,1)))/(INDEX('Shultis Faw'!$A$2:$A$26,MATCH($C392,'Shultis Faw'!$A$2:$A$26,1)+1)-INDEX('Shultis Faw'!$A$2:$A$26,MATCH($C392,'Shultis Faw'!$A$2:$A$26,1))),$C392*'Shultis Faw'!$F$2/'Shultis Faw'!$A$2)</f>
        <v>14.471159999999999</v>
      </c>
      <c r="N392" s="83">
        <f>J392*(H392*'Externe blootstelling'!$D$23/2)^K392+L392*(TANH(((H392*'Externe blootstelling'!$D$23)/(2*M392))-2)-TANH(-2))/(1-TANH(-2))</f>
        <v>1.3067937386177457</v>
      </c>
      <c r="O392" s="83">
        <f>IF(N392=1,1+(I392-1)*H392*'Externe blootstelling'!$D$23/2,1+(I392-1)*(N392^(H392*'Externe blootstelling'!$D$23/2)-1)/(N392-1))</f>
        <v>1.8444869747233361</v>
      </c>
      <c r="P392" s="67">
        <f>G392*EXP(-H392*'Externe blootstelling'!$D$23/2)*O392</f>
        <v>4.8867521072137551E-4</v>
      </c>
      <c r="Q392" s="68"/>
    </row>
    <row r="393" spans="1:17" x14ac:dyDescent="0.2">
      <c r="A393" s="217"/>
      <c r="B393" s="64" t="s">
        <v>104</v>
      </c>
      <c r="C393" s="66">
        <v>1.419</v>
      </c>
      <c r="D393" s="66">
        <f t="shared" si="26"/>
        <v>2.2703999999999998E-13</v>
      </c>
      <c r="E393" s="66">
        <v>2.0000000000000002E-5</v>
      </c>
      <c r="F393" s="66">
        <f>_xlfn.IFNA(INDEX('hp (pSv cm2)'!$B$2:$B$52,MATCH($C393,'hp (pSv cm2)'!$A$2:$A$52,1))+($C393-INDEX('hp (pSv cm2)'!$A$2:$A$52,MATCH($C393,'hp (pSv cm2)'!$A$2:$A$52,1)))*(INDEX('hp (pSv cm2)'!$B$2:$B$52,MATCH($C393,'hp (pSv cm2)'!$A$2:$A$52,1)+1)-INDEX('hp (pSv cm2)'!$B$2:$B$52,MATCH($C393,'hp (pSv cm2)'!$A$2:$A$52,1)))/(INDEX('hp (pSv cm2)'!$A$2:$A$52,MATCH($C393,'hp (pSv cm2)'!$A$2:$A$52,1)+1)-INDEX('hp (pSv cm2)'!$A$2:$A$52,MATCH($C393,'hp (pSv cm2)'!$A$2:$A$52,1))),$C393*'hp (pSv cm2)'!$B$2/'hp (pSv cm2)'!$A$2)</f>
        <v>5.8559400000000004</v>
      </c>
      <c r="G393" s="67">
        <f t="shared" si="27"/>
        <v>1.1711880000000001E-4</v>
      </c>
      <c r="H393" s="83">
        <f>_xlfn.IFNA(0.997*(INDEX('Mass attenuation coefficients'!$B$2:$B$37,MATCH($C393,'Mass attenuation coefficients'!$A$2:$A$37,1))+($C393-INDEX('Mass attenuation coefficients'!$A$2:$A$37,MATCH($C393,'Mass attenuation coefficients'!$A$2:$A$37,1)))*(INDEX('Mass attenuation coefficients'!$B$2:$B$37,MATCH($C393,'Mass attenuation coefficients'!$A$2:$A$37,1)+1)-INDEX('Mass attenuation coefficients'!$B$2:$B$37,MATCH($C393,'Mass attenuation coefficients'!$A$2:$A$37,1)))/(INDEX('Mass attenuation coefficients'!$A$2:$A$37,MATCH($C393,'Mass attenuation coefficients'!$A$2:$A$37,1)+1)-INDEX('Mass attenuation coefficients'!$A$2:$A$37,MATCH($C393,'Mass attenuation coefficients'!$A$2:$A$37,1)))),0.997*$C393*'Mass attenuation coefficients'!$B$2/'Mass attenuation coefficients'!$A$2)</f>
        <v>5.9205409319999992E-2</v>
      </c>
      <c r="I393" s="83">
        <f>_xlfn.IFNA(INDEX('Shultis Faw'!$C$2:$C$26,MATCH($C393,'Shultis Faw'!$A$2:$A$26,1))+($C393-INDEX('Shultis Faw'!$A$2:$A$26,MATCH($C393,'Shultis Faw'!$A$2:$A$26,1)))*(INDEX('Shultis Faw'!$C$2:$C$26,MATCH($C393,'Shultis Faw'!$A$2:$A$26,1)+1)-INDEX('Shultis Faw'!$C$2:$C$26,MATCH($C393,'Shultis Faw'!$A$2:$A$26,1)))/(INDEX('Shultis Faw'!$A$2:$A$26,MATCH($C393,'Shultis Faw'!$A$2:$A$26,1)+1)-INDEX('Shultis Faw'!$A$2:$A$26,MATCH($C393,'Shultis Faw'!$A$2:$A$26,1))),$C393*'Shultis Faw'!$C$2/'Shultis Faw'!$A$2)</f>
        <v>1.965568</v>
      </c>
      <c r="J393" s="83">
        <f>_xlfn.IFNA(INDEX('Shultis Faw'!$D$2:$D$26,MATCH($C393,'Shultis Faw'!$A$2:$A$26,1))+($C393-INDEX('Shultis Faw'!$A$2:$A$26,MATCH($C393,'Shultis Faw'!$A$2:$A$26,1)))*(INDEX('Shultis Faw'!$D$2:$D$26,MATCH($C393,'Shultis Faw'!$A$2:$A$26,1)+1)-INDEX('Shultis Faw'!$D$2:$D$26,MATCH($C393,'Shultis Faw'!$A$2:$A$26,1)))/(INDEX('Shultis Faw'!$A$2:$A$26,MATCH($C393,'Shultis Faw'!$A$2:$A$26,1)+1)-INDEX('Shultis Faw'!$A$2:$A$26,MATCH($C393,'Shultis Faw'!$A$2:$A$26,1))),$C393*'Shultis Faw'!$D$2/'Shultis Faw'!$A$2)</f>
        <v>1.2968639999999998</v>
      </c>
      <c r="K393" s="83">
        <f>_xlfn.IFNA(INDEX('Shultis Faw'!$B$2:$B$26,MATCH($C393,'Shultis Faw'!$A$2:$A$26,1))+($C393-INDEX('Shultis Faw'!$A$2:$A$26,MATCH($C393,'Shultis Faw'!$A$2:$A$26,1)))*(INDEX('Shultis Faw'!$B$2:$B$26,MATCH($C393,'Shultis Faw'!$A$2:$A$26,1)+1)-INDEX('Shultis Faw'!$B$2:$B$26,MATCH($C393,'Shultis Faw'!$A$2:$A$26,1)))/(INDEX('Shultis Faw'!$A$2:$A$26,MATCH($C393,'Shultis Faw'!$A$2:$A$26,1)+1)-INDEX('Shultis Faw'!$A$2:$A$26,MATCH($C393,'Shultis Faw'!$A$2:$A$26,1))),$C393*'Shultis Faw'!$B$2/'Shultis Faw'!$A$2)</f>
        <v>-6.3021999999999995E-2</v>
      </c>
      <c r="L393" s="83">
        <f>_xlfn.IFNA(INDEX('Shultis Faw'!$E$2:$E$26,MATCH($C393,'Shultis Faw'!$A$2:$A$26,1))+($C393-INDEX('Shultis Faw'!$A$2:$A$26,MATCH($C393,'Shultis Faw'!$A$2:$A$26,1)))*(INDEX('Shultis Faw'!$E$2:$E$26,MATCH($C393,'Shultis Faw'!$A$2:$A$26,1)+1)-INDEX('Shultis Faw'!$E$2:$E$26,MATCH($C393,'Shultis Faw'!$A$2:$A$26,1)))/(INDEX('Shultis Faw'!$A$2:$A$26,MATCH($C393,'Shultis Faw'!$A$2:$A$26,1)+1)-INDEX('Shultis Faw'!$A$2:$A$26,MATCH($C393,'Shultis Faw'!$A$2:$A$26,1))),$C393*'Shultis Faw'!$E$2/'Shultis Faw'!$A$2)</f>
        <v>2.6738399999999999E-2</v>
      </c>
      <c r="M393" s="83">
        <f>_xlfn.IFNA(INDEX('Shultis Faw'!$F$2:$F$26,MATCH($C393,'Shultis Faw'!$A$2:$A$26,1))+($C393-INDEX('Shultis Faw'!$A$2:$A$26,MATCH($C393,'Shultis Faw'!$A$2:$A$26,1)))*(INDEX('Shultis Faw'!$F$2:$F$26,MATCH($C393,'Shultis Faw'!$A$2:$A$26,1)+1)-INDEX('Shultis Faw'!$F$2:$F$26,MATCH($C393,'Shultis Faw'!$A$2:$A$26,1)))/(INDEX('Shultis Faw'!$A$2:$A$26,MATCH($C393,'Shultis Faw'!$A$2:$A$26,1)+1)-INDEX('Shultis Faw'!$A$2:$A$26,MATCH($C393,'Shultis Faw'!$A$2:$A$26,1))),$C393*'Shultis Faw'!$F$2/'Shultis Faw'!$A$2)</f>
        <v>14.471399999999999</v>
      </c>
      <c r="N393" s="83">
        <f>J393*(H393*'Externe blootstelling'!$D$23/2)^K393+L393*(TANH(((H393*'Externe blootstelling'!$D$23)/(2*M393))-2)-TANH(-2))/(1-TANH(-2))</f>
        <v>1.3066638524060956</v>
      </c>
      <c r="O393" s="83">
        <f>IF(N393=1,1+(I393-1)*H393*'Externe blootstelling'!$D$23/2,1+(I393-1)*(N393^(H393*'Externe blootstelling'!$D$23/2)-1)/(N393-1))</f>
        <v>1.8442319168638883</v>
      </c>
      <c r="P393" s="67">
        <f>G393*EXP(-H393*'Externe blootstelling'!$D$23/2)*O393</f>
        <v>8.8869637615457902E-5</v>
      </c>
      <c r="Q393" s="68"/>
    </row>
    <row r="394" spans="1:17" x14ac:dyDescent="0.2">
      <c r="A394" s="217"/>
      <c r="B394" s="64" t="s">
        <v>104</v>
      </c>
      <c r="C394" s="66">
        <v>1.4259000000000002</v>
      </c>
      <c r="D394" s="66">
        <f t="shared" si="26"/>
        <v>2.2814400000000001E-13</v>
      </c>
      <c r="E394" s="66">
        <v>1.1999999999999999E-5</v>
      </c>
      <c r="F394" s="66">
        <f>_xlfn.IFNA(INDEX('hp (pSv cm2)'!$B$2:$B$52,MATCH($C394,'hp (pSv cm2)'!$A$2:$A$52,1))+($C394-INDEX('hp (pSv cm2)'!$A$2:$A$52,MATCH($C394,'hp (pSv cm2)'!$A$2:$A$52,1)))*(INDEX('hp (pSv cm2)'!$B$2:$B$52,MATCH($C394,'hp (pSv cm2)'!$A$2:$A$52,1)+1)-INDEX('hp (pSv cm2)'!$B$2:$B$52,MATCH($C394,'hp (pSv cm2)'!$A$2:$A$52,1)))/(INDEX('hp (pSv cm2)'!$A$2:$A$52,MATCH($C394,'hp (pSv cm2)'!$A$2:$A$52,1)+1)-INDEX('hp (pSv cm2)'!$A$2:$A$52,MATCH($C394,'hp (pSv cm2)'!$A$2:$A$52,1))),$C394*'hp (pSv cm2)'!$B$2/'hp (pSv cm2)'!$A$2)</f>
        <v>5.8784340000000004</v>
      </c>
      <c r="G394" s="67">
        <f t="shared" si="27"/>
        <v>7.0541207999999997E-5</v>
      </c>
      <c r="H394" s="83">
        <f>_xlfn.IFNA(0.997*(INDEX('Mass attenuation coefficients'!$B$2:$B$37,MATCH($C394,'Mass attenuation coefficients'!$A$2:$A$37,1))+($C394-INDEX('Mass attenuation coefficients'!$A$2:$A$37,MATCH($C394,'Mass attenuation coefficients'!$A$2:$A$37,1)))*(INDEX('Mass attenuation coefficients'!$B$2:$B$37,MATCH($C394,'Mass attenuation coefficients'!$A$2:$A$37,1)+1)-INDEX('Mass attenuation coefficients'!$B$2:$B$37,MATCH($C394,'Mass attenuation coefficients'!$A$2:$A$37,1)))/(INDEX('Mass attenuation coefficients'!$A$2:$A$37,MATCH($C394,'Mass attenuation coefficients'!$A$2:$A$37,1)+1)-INDEX('Mass attenuation coefficients'!$A$2:$A$37,MATCH($C394,'Mass attenuation coefficients'!$A$2:$A$37,1)))),0.997*$C394*'Mass attenuation coefficients'!$B$2/'Mass attenuation coefficients'!$A$2)</f>
        <v>5.9048836451999993E-2</v>
      </c>
      <c r="I394" s="83">
        <f>_xlfn.IFNA(INDEX('Shultis Faw'!$C$2:$C$26,MATCH($C394,'Shultis Faw'!$A$2:$A$26,1))+($C394-INDEX('Shultis Faw'!$A$2:$A$26,MATCH($C394,'Shultis Faw'!$A$2:$A$26,1)))*(INDEX('Shultis Faw'!$C$2:$C$26,MATCH($C394,'Shultis Faw'!$A$2:$A$26,1)+1)-INDEX('Shultis Faw'!$C$2:$C$26,MATCH($C394,'Shultis Faw'!$A$2:$A$26,1)))/(INDEX('Shultis Faw'!$A$2:$A$26,MATCH($C394,'Shultis Faw'!$A$2:$A$26,1)+1)-INDEX('Shultis Faw'!$A$2:$A$26,MATCH($C394,'Shultis Faw'!$A$2:$A$26,1))),$C394*'Shultis Faw'!$C$2/'Shultis Faw'!$A$2)</f>
        <v>1.9633048</v>
      </c>
      <c r="J394" s="83">
        <f>_xlfn.IFNA(INDEX('Shultis Faw'!$D$2:$D$26,MATCH($C394,'Shultis Faw'!$A$2:$A$26,1))+($C394-INDEX('Shultis Faw'!$A$2:$A$26,MATCH($C394,'Shultis Faw'!$A$2:$A$26,1)))*(INDEX('Shultis Faw'!$D$2:$D$26,MATCH($C394,'Shultis Faw'!$A$2:$A$26,1)+1)-INDEX('Shultis Faw'!$D$2:$D$26,MATCH($C394,'Shultis Faw'!$A$2:$A$26,1)))/(INDEX('Shultis Faw'!$A$2:$A$26,MATCH($C394,'Shultis Faw'!$A$2:$A$26,1)+1)-INDEX('Shultis Faw'!$A$2:$A$26,MATCH($C394,'Shultis Faw'!$A$2:$A$26,1))),$C394*'Shultis Faw'!$D$2/'Shultis Faw'!$A$2)</f>
        <v>1.2944903999999999</v>
      </c>
      <c r="K394" s="83">
        <f>_xlfn.IFNA(INDEX('Shultis Faw'!$B$2:$B$26,MATCH($C394,'Shultis Faw'!$A$2:$A$26,1))+($C394-INDEX('Shultis Faw'!$A$2:$A$26,MATCH($C394,'Shultis Faw'!$A$2:$A$26,1)))*(INDEX('Shultis Faw'!$B$2:$B$26,MATCH($C394,'Shultis Faw'!$A$2:$A$26,1)+1)-INDEX('Shultis Faw'!$B$2:$B$26,MATCH($C394,'Shultis Faw'!$A$2:$A$26,1)))/(INDEX('Shultis Faw'!$A$2:$A$26,MATCH($C394,'Shultis Faw'!$A$2:$A$26,1)+1)-INDEX('Shultis Faw'!$A$2:$A$26,MATCH($C394,'Shultis Faw'!$A$2:$A$26,1))),$C394*'Shultis Faw'!$B$2/'Shultis Faw'!$A$2)</f>
        <v>-6.2594199999999989E-2</v>
      </c>
      <c r="L394" s="83">
        <f>_xlfn.IFNA(INDEX('Shultis Faw'!$E$2:$E$26,MATCH($C394,'Shultis Faw'!$A$2:$A$26,1))+($C394-INDEX('Shultis Faw'!$A$2:$A$26,MATCH($C394,'Shultis Faw'!$A$2:$A$26,1)))*(INDEX('Shultis Faw'!$E$2:$E$26,MATCH($C394,'Shultis Faw'!$A$2:$A$26,1)+1)-INDEX('Shultis Faw'!$E$2:$E$26,MATCH($C394,'Shultis Faw'!$A$2:$A$26,1)))/(INDEX('Shultis Faw'!$A$2:$A$26,MATCH($C394,'Shultis Faw'!$A$2:$A$26,1)+1)-INDEX('Shultis Faw'!$A$2:$A$26,MATCH($C394,'Shultis Faw'!$A$2:$A$26,1))),$C394*'Shultis Faw'!$E$2/'Shultis Faw'!$A$2)</f>
        <v>2.6556239999999995E-2</v>
      </c>
      <c r="M394" s="83">
        <f>_xlfn.IFNA(INDEX('Shultis Faw'!$F$2:$F$26,MATCH($C394,'Shultis Faw'!$A$2:$A$26,1))+($C394-INDEX('Shultis Faw'!$A$2:$A$26,MATCH($C394,'Shultis Faw'!$A$2:$A$26,1)))*(INDEX('Shultis Faw'!$F$2:$F$26,MATCH($C394,'Shultis Faw'!$A$2:$A$26,1)+1)-INDEX('Shultis Faw'!$F$2:$F$26,MATCH($C394,'Shultis Faw'!$A$2:$A$26,1)))/(INDEX('Shultis Faw'!$A$2:$A$26,MATCH($C394,'Shultis Faw'!$A$2:$A$26,1)+1)-INDEX('Shultis Faw'!$A$2:$A$26,MATCH($C394,'Shultis Faw'!$A$2:$A$26,1))),$C394*'Shultis Faw'!$F$2/'Shultis Faw'!$A$2)</f>
        <v>14.475540000000001</v>
      </c>
      <c r="N394" s="83">
        <f>J394*(H394*'Externe blootstelling'!$D$23/2)^K394+L394*(TANH(((H394*'Externe blootstelling'!$D$23)/(2*M394))-2)-TANH(-2))/(1-TANH(-2))</f>
        <v>1.3044217741326014</v>
      </c>
      <c r="O394" s="83">
        <f>IF(N394=1,1+(I394-1)*H394*'Externe blootstelling'!$D$23/2,1+(I394-1)*(N394^(H394*'Externe blootstelling'!$D$23/2)-1)/(N394-1))</f>
        <v>1.8398407819574736</v>
      </c>
      <c r="P394" s="67">
        <f>G394*EXP(-H394*'Externe blootstelling'!$D$23/2)*O394</f>
        <v>5.3524716573722096E-5</v>
      </c>
      <c r="Q394" s="68"/>
    </row>
    <row r="395" spans="1:17" x14ac:dyDescent="0.2">
      <c r="A395" s="217"/>
      <c r="B395" s="64" t="s">
        <v>104</v>
      </c>
      <c r="C395" s="66">
        <v>1.4895999999999998</v>
      </c>
      <c r="D395" s="66">
        <f t="shared" si="26"/>
        <v>2.3833599999999993E-13</v>
      </c>
      <c r="E395" s="66">
        <v>2.8999999999999997E-5</v>
      </c>
      <c r="F395" s="66">
        <f>_xlfn.IFNA(INDEX('hp (pSv cm2)'!$B$2:$B$52,MATCH($C395,'hp (pSv cm2)'!$A$2:$A$52,1))+($C395-INDEX('hp (pSv cm2)'!$A$2:$A$52,MATCH($C395,'hp (pSv cm2)'!$A$2:$A$52,1)))*(INDEX('hp (pSv cm2)'!$B$2:$B$52,MATCH($C395,'hp (pSv cm2)'!$A$2:$A$52,1)+1)-INDEX('hp (pSv cm2)'!$B$2:$B$52,MATCH($C395,'hp (pSv cm2)'!$A$2:$A$52,1)))/(INDEX('hp (pSv cm2)'!$A$2:$A$52,MATCH($C395,'hp (pSv cm2)'!$A$2:$A$52,1)+1)-INDEX('hp (pSv cm2)'!$A$2:$A$52,MATCH($C395,'hp (pSv cm2)'!$A$2:$A$52,1))),$C395*'hp (pSv cm2)'!$B$2/'hp (pSv cm2)'!$A$2)</f>
        <v>6.0860959999999995</v>
      </c>
      <c r="G395" s="67">
        <f t="shared" si="27"/>
        <v>1.7649678399999996E-4</v>
      </c>
      <c r="H395" s="83">
        <f>_xlfn.IFNA(0.997*(INDEX('Mass attenuation coefficients'!$B$2:$B$37,MATCH($C395,'Mass attenuation coefficients'!$A$2:$A$37,1))+($C395-INDEX('Mass attenuation coefficients'!$A$2:$A$37,MATCH($C395,'Mass attenuation coefficients'!$A$2:$A$37,1)))*(INDEX('Mass attenuation coefficients'!$B$2:$B$37,MATCH($C395,'Mass attenuation coefficients'!$A$2:$A$37,1)+1)-INDEX('Mass attenuation coefficients'!$B$2:$B$37,MATCH($C395,'Mass attenuation coefficients'!$A$2:$A$37,1)))/(INDEX('Mass attenuation coefficients'!$A$2:$A$37,MATCH($C395,'Mass attenuation coefficients'!$A$2:$A$37,1)+1)-INDEX('Mass attenuation coefficients'!$A$2:$A$37,MATCH($C395,'Mass attenuation coefficients'!$A$2:$A$37,1)))),0.997*$C395*'Mass attenuation coefficients'!$B$2/'Mass attenuation coefficients'!$A$2)</f>
        <v>5.7603373888000006E-2</v>
      </c>
      <c r="I395" s="83">
        <f>_xlfn.IFNA(INDEX('Shultis Faw'!$C$2:$C$26,MATCH($C395,'Shultis Faw'!$A$2:$A$26,1))+($C395-INDEX('Shultis Faw'!$A$2:$A$26,MATCH($C395,'Shultis Faw'!$A$2:$A$26,1)))*(INDEX('Shultis Faw'!$C$2:$C$26,MATCH($C395,'Shultis Faw'!$A$2:$A$26,1)+1)-INDEX('Shultis Faw'!$C$2:$C$26,MATCH($C395,'Shultis Faw'!$A$2:$A$26,1)))/(INDEX('Shultis Faw'!$A$2:$A$26,MATCH($C395,'Shultis Faw'!$A$2:$A$26,1)+1)-INDEX('Shultis Faw'!$A$2:$A$26,MATCH($C395,'Shultis Faw'!$A$2:$A$26,1))),$C395*'Shultis Faw'!$C$2/'Shultis Faw'!$A$2)</f>
        <v>1.9424112</v>
      </c>
      <c r="J395" s="83">
        <f>_xlfn.IFNA(INDEX('Shultis Faw'!$D$2:$D$26,MATCH($C395,'Shultis Faw'!$A$2:$A$26,1))+($C395-INDEX('Shultis Faw'!$A$2:$A$26,MATCH($C395,'Shultis Faw'!$A$2:$A$26,1)))*(INDEX('Shultis Faw'!$D$2:$D$26,MATCH($C395,'Shultis Faw'!$A$2:$A$26,1)+1)-INDEX('Shultis Faw'!$D$2:$D$26,MATCH($C395,'Shultis Faw'!$A$2:$A$26,1)))/(INDEX('Shultis Faw'!$A$2:$A$26,MATCH($C395,'Shultis Faw'!$A$2:$A$26,1)+1)-INDEX('Shultis Faw'!$A$2:$A$26,MATCH($C395,'Shultis Faw'!$A$2:$A$26,1))),$C395*'Shultis Faw'!$D$2/'Shultis Faw'!$A$2)</f>
        <v>1.2725776</v>
      </c>
      <c r="K395" s="83">
        <f>_xlfn.IFNA(INDEX('Shultis Faw'!$B$2:$B$26,MATCH($C395,'Shultis Faw'!$A$2:$A$26,1))+($C395-INDEX('Shultis Faw'!$A$2:$A$26,MATCH($C395,'Shultis Faw'!$A$2:$A$26,1)))*(INDEX('Shultis Faw'!$B$2:$B$26,MATCH($C395,'Shultis Faw'!$A$2:$A$26,1)+1)-INDEX('Shultis Faw'!$B$2:$B$26,MATCH($C395,'Shultis Faw'!$A$2:$A$26,1)))/(INDEX('Shultis Faw'!$A$2:$A$26,MATCH($C395,'Shultis Faw'!$A$2:$A$26,1)+1)-INDEX('Shultis Faw'!$A$2:$A$26,MATCH($C395,'Shultis Faw'!$A$2:$A$26,1))),$C395*'Shultis Faw'!$B$2/'Shultis Faw'!$A$2)</f>
        <v>-5.8644800000000011E-2</v>
      </c>
      <c r="L395" s="83">
        <f>_xlfn.IFNA(INDEX('Shultis Faw'!$E$2:$E$26,MATCH($C395,'Shultis Faw'!$A$2:$A$26,1))+($C395-INDEX('Shultis Faw'!$A$2:$A$26,MATCH($C395,'Shultis Faw'!$A$2:$A$26,1)))*(INDEX('Shultis Faw'!$E$2:$E$26,MATCH($C395,'Shultis Faw'!$A$2:$A$26,1)+1)-INDEX('Shultis Faw'!$E$2:$E$26,MATCH($C395,'Shultis Faw'!$A$2:$A$26,1)))/(INDEX('Shultis Faw'!$A$2:$A$26,MATCH($C395,'Shultis Faw'!$A$2:$A$26,1)+1)-INDEX('Shultis Faw'!$A$2:$A$26,MATCH($C395,'Shultis Faw'!$A$2:$A$26,1))),$C395*'Shultis Faw'!$E$2/'Shultis Faw'!$A$2)</f>
        <v>2.4874560000000004E-2</v>
      </c>
      <c r="M395" s="83">
        <f>_xlfn.IFNA(INDEX('Shultis Faw'!$F$2:$F$26,MATCH($C395,'Shultis Faw'!$A$2:$A$26,1))+($C395-INDEX('Shultis Faw'!$A$2:$A$26,MATCH($C395,'Shultis Faw'!$A$2:$A$26,1)))*(INDEX('Shultis Faw'!$F$2:$F$26,MATCH($C395,'Shultis Faw'!$A$2:$A$26,1)+1)-INDEX('Shultis Faw'!$F$2:$F$26,MATCH($C395,'Shultis Faw'!$A$2:$A$26,1)))/(INDEX('Shultis Faw'!$A$2:$A$26,MATCH($C395,'Shultis Faw'!$A$2:$A$26,1)+1)-INDEX('Shultis Faw'!$A$2:$A$26,MATCH($C395,'Shultis Faw'!$A$2:$A$26,1))),$C395*'Shultis Faw'!$F$2/'Shultis Faw'!$A$2)</f>
        <v>14.51376</v>
      </c>
      <c r="N395" s="83">
        <f>J395*(H395*'Externe blootstelling'!$D$23/2)^K395+L395*(TANH(((H395*'Externe blootstelling'!$D$23)/(2*M395))-2)-TANH(-2))/(1-TANH(-2))</f>
        <v>1.2835861404106614</v>
      </c>
      <c r="O395" s="83">
        <f>IF(N395=1,1+(I395-1)*H395*'Externe blootstelling'!$D$23/2,1+(I395-1)*(N395^(H395*'Externe blootstelling'!$D$23/2)-1)/(N395-1))</f>
        <v>1.8000624661230242</v>
      </c>
      <c r="P395" s="67">
        <f>G395*EXP(-H395*'Externe blootstelling'!$D$23/2)*O395</f>
        <v>1.3389734370860057E-4</v>
      </c>
      <c r="Q395" s="68"/>
    </row>
    <row r="396" spans="1:17" x14ac:dyDescent="0.2">
      <c r="A396" s="217"/>
      <c r="B396" s="64" t="s">
        <v>104</v>
      </c>
      <c r="C396" s="66">
        <v>1.494048</v>
      </c>
      <c r="D396" s="66">
        <f t="shared" si="26"/>
        <v>2.3904767999999999E-13</v>
      </c>
      <c r="E396" s="66">
        <v>6.9799999999999992E-3</v>
      </c>
      <c r="F396" s="66">
        <f>_xlfn.IFNA(INDEX('hp (pSv cm2)'!$B$2:$B$52,MATCH($C396,'hp (pSv cm2)'!$A$2:$A$52,1))+($C396-INDEX('hp (pSv cm2)'!$A$2:$A$52,MATCH($C396,'hp (pSv cm2)'!$A$2:$A$52,1)))*(INDEX('hp (pSv cm2)'!$B$2:$B$52,MATCH($C396,'hp (pSv cm2)'!$A$2:$A$52,1)+1)-INDEX('hp (pSv cm2)'!$B$2:$B$52,MATCH($C396,'hp (pSv cm2)'!$A$2:$A$52,1)))/(INDEX('hp (pSv cm2)'!$A$2:$A$52,MATCH($C396,'hp (pSv cm2)'!$A$2:$A$52,1)+1)-INDEX('hp (pSv cm2)'!$A$2:$A$52,MATCH($C396,'hp (pSv cm2)'!$A$2:$A$52,1))),$C396*'hp (pSv cm2)'!$B$2/'hp (pSv cm2)'!$A$2)</f>
        <v>6.1005964800000001</v>
      </c>
      <c r="G396" s="67">
        <f t="shared" si="27"/>
        <v>4.2582163430399993E-2</v>
      </c>
      <c r="H396" s="83">
        <f>_xlfn.IFNA(0.997*(INDEX('Mass attenuation coefficients'!$B$2:$B$37,MATCH($C396,'Mass attenuation coefficients'!$A$2:$A$37,1))+($C396-INDEX('Mass attenuation coefficients'!$A$2:$A$37,MATCH($C396,'Mass attenuation coefficients'!$A$2:$A$37,1)))*(INDEX('Mass attenuation coefficients'!$B$2:$B$37,MATCH($C396,'Mass attenuation coefficients'!$A$2:$A$37,1)+1)-INDEX('Mass attenuation coefficients'!$B$2:$B$37,MATCH($C396,'Mass attenuation coefficients'!$A$2:$A$37,1)))/(INDEX('Mass attenuation coefficients'!$A$2:$A$37,MATCH($C396,'Mass attenuation coefficients'!$A$2:$A$37,1)+1)-INDEX('Mass attenuation coefficients'!$A$2:$A$37,MATCH($C396,'Mass attenuation coefficients'!$A$2:$A$37,1)))),0.997*$C396*'Mass attenuation coefficients'!$B$2/'Mass attenuation coefficients'!$A$2)</f>
        <v>5.7502441117440004E-2</v>
      </c>
      <c r="I396" s="83">
        <f>_xlfn.IFNA(INDEX('Shultis Faw'!$C$2:$C$26,MATCH($C396,'Shultis Faw'!$A$2:$A$26,1))+($C396-INDEX('Shultis Faw'!$A$2:$A$26,MATCH($C396,'Shultis Faw'!$A$2:$A$26,1)))*(INDEX('Shultis Faw'!$C$2:$C$26,MATCH($C396,'Shultis Faw'!$A$2:$A$26,1)+1)-INDEX('Shultis Faw'!$C$2:$C$26,MATCH($C396,'Shultis Faw'!$A$2:$A$26,1)))/(INDEX('Shultis Faw'!$A$2:$A$26,MATCH($C396,'Shultis Faw'!$A$2:$A$26,1)+1)-INDEX('Shultis Faw'!$A$2:$A$26,MATCH($C396,'Shultis Faw'!$A$2:$A$26,1))),$C396*'Shultis Faw'!$C$2/'Shultis Faw'!$A$2)</f>
        <v>1.9409522560000001</v>
      </c>
      <c r="J396" s="83">
        <f>_xlfn.IFNA(INDEX('Shultis Faw'!$D$2:$D$26,MATCH($C396,'Shultis Faw'!$A$2:$A$26,1))+($C396-INDEX('Shultis Faw'!$A$2:$A$26,MATCH($C396,'Shultis Faw'!$A$2:$A$26,1)))*(INDEX('Shultis Faw'!$D$2:$D$26,MATCH($C396,'Shultis Faw'!$A$2:$A$26,1)+1)-INDEX('Shultis Faw'!$D$2:$D$26,MATCH($C396,'Shultis Faw'!$A$2:$A$26,1)))/(INDEX('Shultis Faw'!$A$2:$A$26,MATCH($C396,'Shultis Faw'!$A$2:$A$26,1)+1)-INDEX('Shultis Faw'!$A$2:$A$26,MATCH($C396,'Shultis Faw'!$A$2:$A$26,1))),$C396*'Shultis Faw'!$D$2/'Shultis Faw'!$A$2)</f>
        <v>1.2710474879999998</v>
      </c>
      <c r="K396" s="83">
        <f>_xlfn.IFNA(INDEX('Shultis Faw'!$B$2:$B$26,MATCH($C396,'Shultis Faw'!$A$2:$A$26,1))+($C396-INDEX('Shultis Faw'!$A$2:$A$26,MATCH($C396,'Shultis Faw'!$A$2:$A$26,1)))*(INDEX('Shultis Faw'!$B$2:$B$26,MATCH($C396,'Shultis Faw'!$A$2:$A$26,1)+1)-INDEX('Shultis Faw'!$B$2:$B$26,MATCH($C396,'Shultis Faw'!$A$2:$A$26,1)))/(INDEX('Shultis Faw'!$A$2:$A$26,MATCH($C396,'Shultis Faw'!$A$2:$A$26,1)+1)-INDEX('Shultis Faw'!$A$2:$A$26,MATCH($C396,'Shultis Faw'!$A$2:$A$26,1))),$C396*'Shultis Faw'!$B$2/'Shultis Faw'!$A$2)</f>
        <v>-5.8369023999999999E-2</v>
      </c>
      <c r="L396" s="83">
        <f>_xlfn.IFNA(INDEX('Shultis Faw'!$E$2:$E$26,MATCH($C396,'Shultis Faw'!$A$2:$A$26,1))+($C396-INDEX('Shultis Faw'!$A$2:$A$26,MATCH($C396,'Shultis Faw'!$A$2:$A$26,1)))*(INDEX('Shultis Faw'!$E$2:$E$26,MATCH($C396,'Shultis Faw'!$A$2:$A$26,1)+1)-INDEX('Shultis Faw'!$E$2:$E$26,MATCH($C396,'Shultis Faw'!$A$2:$A$26,1)))/(INDEX('Shultis Faw'!$A$2:$A$26,MATCH($C396,'Shultis Faw'!$A$2:$A$26,1)+1)-INDEX('Shultis Faw'!$A$2:$A$26,MATCH($C396,'Shultis Faw'!$A$2:$A$26,1))),$C396*'Shultis Faw'!$E$2/'Shultis Faw'!$A$2)</f>
        <v>2.4757132799999998E-2</v>
      </c>
      <c r="M396" s="83">
        <f>_xlfn.IFNA(INDEX('Shultis Faw'!$F$2:$F$26,MATCH($C396,'Shultis Faw'!$A$2:$A$26,1))+($C396-INDEX('Shultis Faw'!$A$2:$A$26,MATCH($C396,'Shultis Faw'!$A$2:$A$26,1)))*(INDEX('Shultis Faw'!$F$2:$F$26,MATCH($C396,'Shultis Faw'!$A$2:$A$26,1)+1)-INDEX('Shultis Faw'!$F$2:$F$26,MATCH($C396,'Shultis Faw'!$A$2:$A$26,1)))/(INDEX('Shultis Faw'!$A$2:$A$26,MATCH($C396,'Shultis Faw'!$A$2:$A$26,1)+1)-INDEX('Shultis Faw'!$A$2:$A$26,MATCH($C396,'Shultis Faw'!$A$2:$A$26,1))),$C396*'Shultis Faw'!$F$2/'Shultis Faw'!$A$2)</f>
        <v>14.5164288</v>
      </c>
      <c r="N396" s="83">
        <f>J396*(H396*'Externe blootstelling'!$D$23/2)^K396+L396*(TANH(((H396*'Externe blootstelling'!$D$23)/(2*M396))-2)-TANH(-2))/(1-TANH(-2))</f>
        <v>1.2821220493663521</v>
      </c>
      <c r="O396" s="83">
        <f>IF(N396=1,1+(I396-1)*H396*'Externe blootstelling'!$D$23/2,1+(I396-1)*(N396^(H396*'Externe blootstelling'!$D$23/2)-1)/(N396-1))</f>
        <v>1.7973354604419729</v>
      </c>
      <c r="P396" s="67">
        <f>G396*EXP(-H396*'Externe blootstelling'!$D$23/2)*O396</f>
        <v>3.2304421791851071E-2</v>
      </c>
      <c r="Q396" s="68"/>
    </row>
    <row r="397" spans="1:17" x14ac:dyDescent="0.2">
      <c r="A397" s="217"/>
      <c r="B397" s="64" t="s">
        <v>104</v>
      </c>
      <c r="C397" s="66">
        <v>1.51</v>
      </c>
      <c r="D397" s="66">
        <f t="shared" si="26"/>
        <v>2.416E-13</v>
      </c>
      <c r="E397" s="66">
        <v>4.7999999999999994E-5</v>
      </c>
      <c r="F397" s="66">
        <f>_xlfn.IFNA(INDEX('hp (pSv cm2)'!$B$2:$B$52,MATCH($C397,'hp (pSv cm2)'!$A$2:$A$52,1))+($C397-INDEX('hp (pSv cm2)'!$A$2:$A$52,MATCH($C397,'hp (pSv cm2)'!$A$2:$A$52,1)))*(INDEX('hp (pSv cm2)'!$B$2:$B$52,MATCH($C397,'hp (pSv cm2)'!$A$2:$A$52,1)+1)-INDEX('hp (pSv cm2)'!$B$2:$B$52,MATCH($C397,'hp (pSv cm2)'!$A$2:$A$52,1)))/(INDEX('hp (pSv cm2)'!$A$2:$A$52,MATCH($C397,'hp (pSv cm2)'!$A$2:$A$52,1)+1)-INDEX('hp (pSv cm2)'!$A$2:$A$52,MATCH($C397,'hp (pSv cm2)'!$A$2:$A$52,1))),$C397*'hp (pSv cm2)'!$B$2/'hp (pSv cm2)'!$A$2)</f>
        <v>6.1471999999999998</v>
      </c>
      <c r="G397" s="67">
        <f t="shared" si="27"/>
        <v>2.9506559999999994E-4</v>
      </c>
      <c r="H397" s="83">
        <f>_xlfn.IFNA(0.997*(INDEX('Mass attenuation coefficients'!$B$2:$B$37,MATCH($C397,'Mass attenuation coefficients'!$A$2:$A$37,1))+($C397-INDEX('Mass attenuation coefficients'!$A$2:$A$37,MATCH($C397,'Mass attenuation coefficients'!$A$2:$A$37,1)))*(INDEX('Mass attenuation coefficients'!$B$2:$B$37,MATCH($C397,'Mass attenuation coefficients'!$A$2:$A$37,1)+1)-INDEX('Mass attenuation coefficients'!$B$2:$B$37,MATCH($C397,'Mass attenuation coefficients'!$A$2:$A$37,1)))/(INDEX('Mass attenuation coefficients'!$A$2:$A$37,MATCH($C397,'Mass attenuation coefficients'!$A$2:$A$37,1)+1)-INDEX('Mass attenuation coefficients'!$A$2:$A$37,MATCH($C397,'Mass attenuation coefficients'!$A$2:$A$37,1)))),0.997*$C397*'Mass attenuation coefficients'!$B$2/'Mass attenuation coefficients'!$A$2)</f>
        <v>5.7205467199999999E-2</v>
      </c>
      <c r="I397" s="83">
        <f>_xlfn.IFNA(INDEX('Shultis Faw'!$C$2:$C$26,MATCH($C397,'Shultis Faw'!$A$2:$A$26,1))+($C397-INDEX('Shultis Faw'!$A$2:$A$26,MATCH($C397,'Shultis Faw'!$A$2:$A$26,1)))*(INDEX('Shultis Faw'!$C$2:$C$26,MATCH($C397,'Shultis Faw'!$A$2:$A$26,1)+1)-INDEX('Shultis Faw'!$C$2:$C$26,MATCH($C397,'Shultis Faw'!$A$2:$A$26,1)))/(INDEX('Shultis Faw'!$A$2:$A$26,MATCH($C397,'Shultis Faw'!$A$2:$A$26,1)+1)-INDEX('Shultis Faw'!$A$2:$A$26,MATCH($C397,'Shultis Faw'!$A$2:$A$26,1))),$C397*'Shultis Faw'!$C$2/'Shultis Faw'!$A$2)</f>
        <v>1.9370000000000001</v>
      </c>
      <c r="J397" s="83">
        <f>_xlfn.IFNA(INDEX('Shultis Faw'!$D$2:$D$26,MATCH($C397,'Shultis Faw'!$A$2:$A$26,1))+($C397-INDEX('Shultis Faw'!$A$2:$A$26,MATCH($C397,'Shultis Faw'!$A$2:$A$26,1)))*(INDEX('Shultis Faw'!$D$2:$D$26,MATCH($C397,'Shultis Faw'!$A$2:$A$26,1)+1)-INDEX('Shultis Faw'!$D$2:$D$26,MATCH($C397,'Shultis Faw'!$A$2:$A$26,1)))/(INDEX('Shultis Faw'!$A$2:$A$26,MATCH($C397,'Shultis Faw'!$A$2:$A$26,1)+1)-INDEX('Shultis Faw'!$A$2:$A$26,MATCH($C397,'Shultis Faw'!$A$2:$A$26,1))),$C397*'Shultis Faw'!$D$2/'Shultis Faw'!$A$2)</f>
        <v>1.26708</v>
      </c>
      <c r="K397" s="83">
        <f>_xlfn.IFNA(INDEX('Shultis Faw'!$B$2:$B$26,MATCH($C397,'Shultis Faw'!$A$2:$A$26,1))+($C397-INDEX('Shultis Faw'!$A$2:$A$26,MATCH($C397,'Shultis Faw'!$A$2:$A$26,1)))*(INDEX('Shultis Faw'!$B$2:$B$26,MATCH($C397,'Shultis Faw'!$A$2:$A$26,1)+1)-INDEX('Shultis Faw'!$B$2:$B$26,MATCH($C397,'Shultis Faw'!$A$2:$A$26,1)))/(INDEX('Shultis Faw'!$A$2:$A$26,MATCH($C397,'Shultis Faw'!$A$2:$A$26,1)+1)-INDEX('Shultis Faw'!$A$2:$A$26,MATCH($C397,'Shultis Faw'!$A$2:$A$26,1))),$C397*'Shultis Faw'!$B$2/'Shultis Faw'!$A$2)</f>
        <v>-5.7620000000000005E-2</v>
      </c>
      <c r="L397" s="83">
        <f>_xlfn.IFNA(INDEX('Shultis Faw'!$E$2:$E$26,MATCH($C397,'Shultis Faw'!$A$2:$A$26,1))+($C397-INDEX('Shultis Faw'!$A$2:$A$26,MATCH($C397,'Shultis Faw'!$A$2:$A$26,1)))*(INDEX('Shultis Faw'!$E$2:$E$26,MATCH($C397,'Shultis Faw'!$A$2:$A$26,1)+1)-INDEX('Shultis Faw'!$E$2:$E$26,MATCH($C397,'Shultis Faw'!$A$2:$A$26,1)))/(INDEX('Shultis Faw'!$A$2:$A$26,MATCH($C397,'Shultis Faw'!$A$2:$A$26,1)+1)-INDEX('Shultis Faw'!$A$2:$A$26,MATCH($C397,'Shultis Faw'!$A$2:$A$26,1))),$C397*'Shultis Faw'!$E$2/'Shultis Faw'!$A$2)</f>
        <v>2.443E-2</v>
      </c>
      <c r="M397" s="83">
        <f>_xlfn.IFNA(INDEX('Shultis Faw'!$F$2:$F$26,MATCH($C397,'Shultis Faw'!$A$2:$A$26,1))+($C397-INDEX('Shultis Faw'!$A$2:$A$26,MATCH($C397,'Shultis Faw'!$A$2:$A$26,1)))*(INDEX('Shultis Faw'!$F$2:$F$26,MATCH($C397,'Shultis Faw'!$A$2:$A$26,1)+1)-INDEX('Shultis Faw'!$F$2:$F$26,MATCH($C397,'Shultis Faw'!$A$2:$A$26,1)))/(INDEX('Shultis Faw'!$A$2:$A$26,MATCH($C397,'Shultis Faw'!$A$2:$A$26,1)+1)-INDEX('Shultis Faw'!$A$2:$A$26,MATCH($C397,'Shultis Faw'!$A$2:$A$26,1))),$C397*'Shultis Faw'!$F$2/'Shultis Faw'!$A$2)</f>
        <v>14.510999999999999</v>
      </c>
      <c r="N397" s="83">
        <f>J397*(H397*'Externe blootstelling'!$D$23/2)^K397+L397*(TANH(((H397*'Externe blootstelling'!$D$23)/(2*M397))-2)-TANH(-2))/(1-TANH(-2))</f>
        <v>1.2783589188829367</v>
      </c>
      <c r="O397" s="83">
        <f>IF(N397=1,1+(I397-1)*H397*'Externe blootstelling'!$D$23/2,1+(I397-1)*(N397^(H397*'Externe blootstelling'!$D$23/2)-1)/(N397-1))</f>
        <v>1.7896104507269313</v>
      </c>
      <c r="P397" s="67">
        <f>G397*EXP(-H397*'Externe blootstelling'!$D$23/2)*O397</f>
        <v>2.2388077761572279E-4</v>
      </c>
      <c r="Q397" s="68"/>
    </row>
    <row r="398" spans="1:17" x14ac:dyDescent="0.2">
      <c r="A398" s="217"/>
      <c r="B398" s="64" t="s">
        <v>104</v>
      </c>
      <c r="C398" s="66">
        <v>1.522</v>
      </c>
      <c r="D398" s="66">
        <f t="shared" si="26"/>
        <v>2.4352000000000001E-13</v>
      </c>
      <c r="E398" s="66">
        <v>5.9999999999999993E-6</v>
      </c>
      <c r="F398" s="66">
        <f>_xlfn.IFNA(INDEX('hp (pSv cm2)'!$B$2:$B$52,MATCH($C398,'hp (pSv cm2)'!$A$2:$A$52,1))+($C398-INDEX('hp (pSv cm2)'!$A$2:$A$52,MATCH($C398,'hp (pSv cm2)'!$A$2:$A$52,1)))*(INDEX('hp (pSv cm2)'!$B$2:$B$52,MATCH($C398,'hp (pSv cm2)'!$A$2:$A$52,1)+1)-INDEX('hp (pSv cm2)'!$B$2:$B$52,MATCH($C398,'hp (pSv cm2)'!$A$2:$A$52,1)))/(INDEX('hp (pSv cm2)'!$A$2:$A$52,MATCH($C398,'hp (pSv cm2)'!$A$2:$A$52,1)+1)-INDEX('hp (pSv cm2)'!$A$2:$A$52,MATCH($C398,'hp (pSv cm2)'!$A$2:$A$52,1))),$C398*'hp (pSv cm2)'!$B$2/'hp (pSv cm2)'!$A$2)</f>
        <v>6.1798400000000004</v>
      </c>
      <c r="G398" s="67">
        <f t="shared" si="27"/>
        <v>3.7079039999999998E-5</v>
      </c>
      <c r="H398" s="83">
        <f>_xlfn.IFNA(0.997*(INDEX('Mass attenuation coefficients'!$B$2:$B$37,MATCH($C398,'Mass attenuation coefficients'!$A$2:$A$37,1))+($C398-INDEX('Mass attenuation coefficients'!$A$2:$A$37,MATCH($C398,'Mass attenuation coefficients'!$A$2:$A$37,1)))*(INDEX('Mass attenuation coefficients'!$B$2:$B$37,MATCH($C398,'Mass attenuation coefficients'!$A$2:$A$37,1)+1)-INDEX('Mass attenuation coefficients'!$B$2:$B$37,MATCH($C398,'Mass attenuation coefficients'!$A$2:$A$37,1)))/(INDEX('Mass attenuation coefficients'!$A$2:$A$37,MATCH($C398,'Mass attenuation coefficients'!$A$2:$A$37,1)+1)-INDEX('Mass attenuation coefficients'!$A$2:$A$37,MATCH($C398,'Mass attenuation coefficients'!$A$2:$A$37,1)))),0.997*$C398*'Mass attenuation coefficients'!$B$2/'Mass attenuation coefficients'!$A$2)</f>
        <v>5.7011171839999999E-2</v>
      </c>
      <c r="I398" s="83">
        <f>_xlfn.IFNA(INDEX('Shultis Faw'!$C$2:$C$26,MATCH($C398,'Shultis Faw'!$A$2:$A$26,1))+($C398-INDEX('Shultis Faw'!$A$2:$A$26,MATCH($C398,'Shultis Faw'!$A$2:$A$26,1)))*(INDEX('Shultis Faw'!$C$2:$C$26,MATCH($C398,'Shultis Faw'!$A$2:$A$26,1)+1)-INDEX('Shultis Faw'!$C$2:$C$26,MATCH($C398,'Shultis Faw'!$A$2:$A$26,1)))/(INDEX('Shultis Faw'!$A$2:$A$26,MATCH($C398,'Shultis Faw'!$A$2:$A$26,1)+1)-INDEX('Shultis Faw'!$A$2:$A$26,MATCH($C398,'Shultis Faw'!$A$2:$A$26,1))),$C398*'Shultis Faw'!$C$2/'Shultis Faw'!$A$2)</f>
        <v>1.9346000000000001</v>
      </c>
      <c r="J398" s="83">
        <f>_xlfn.IFNA(INDEX('Shultis Faw'!$D$2:$D$26,MATCH($C398,'Shultis Faw'!$A$2:$A$26,1))+($C398-INDEX('Shultis Faw'!$A$2:$A$26,MATCH($C398,'Shultis Faw'!$A$2:$A$26,1)))*(INDEX('Shultis Faw'!$D$2:$D$26,MATCH($C398,'Shultis Faw'!$A$2:$A$26,1)+1)-INDEX('Shultis Faw'!$D$2:$D$26,MATCH($C398,'Shultis Faw'!$A$2:$A$26,1)))/(INDEX('Shultis Faw'!$A$2:$A$26,MATCH($C398,'Shultis Faw'!$A$2:$A$26,1)+1)-INDEX('Shultis Faw'!$A$2:$A$26,MATCH($C398,'Shultis Faw'!$A$2:$A$26,1))),$C398*'Shultis Faw'!$D$2/'Shultis Faw'!$A$2)</f>
        <v>1.2647759999999999</v>
      </c>
      <c r="K398" s="83">
        <f>_xlfn.IFNA(INDEX('Shultis Faw'!$B$2:$B$26,MATCH($C398,'Shultis Faw'!$A$2:$A$26,1))+($C398-INDEX('Shultis Faw'!$A$2:$A$26,MATCH($C398,'Shultis Faw'!$A$2:$A$26,1)))*(INDEX('Shultis Faw'!$B$2:$B$26,MATCH($C398,'Shultis Faw'!$A$2:$A$26,1)+1)-INDEX('Shultis Faw'!$B$2:$B$26,MATCH($C398,'Shultis Faw'!$A$2:$A$26,1)))/(INDEX('Shultis Faw'!$A$2:$A$26,MATCH($C398,'Shultis Faw'!$A$2:$A$26,1)+1)-INDEX('Shultis Faw'!$A$2:$A$26,MATCH($C398,'Shultis Faw'!$A$2:$A$26,1))),$C398*'Shultis Faw'!$B$2/'Shultis Faw'!$A$2)</f>
        <v>-5.7164E-2</v>
      </c>
      <c r="L398" s="83">
        <f>_xlfn.IFNA(INDEX('Shultis Faw'!$E$2:$E$26,MATCH($C398,'Shultis Faw'!$A$2:$A$26,1))+($C398-INDEX('Shultis Faw'!$A$2:$A$26,MATCH($C398,'Shultis Faw'!$A$2:$A$26,1)))*(INDEX('Shultis Faw'!$E$2:$E$26,MATCH($C398,'Shultis Faw'!$A$2:$A$26,1)+1)-INDEX('Shultis Faw'!$E$2:$E$26,MATCH($C398,'Shultis Faw'!$A$2:$A$26,1)))/(INDEX('Shultis Faw'!$A$2:$A$26,MATCH($C398,'Shultis Faw'!$A$2:$A$26,1)+1)-INDEX('Shultis Faw'!$A$2:$A$26,MATCH($C398,'Shultis Faw'!$A$2:$A$26,1))),$C398*'Shultis Faw'!$E$2/'Shultis Faw'!$A$2)</f>
        <v>2.4226000000000001E-2</v>
      </c>
      <c r="M398" s="83">
        <f>_xlfn.IFNA(INDEX('Shultis Faw'!$F$2:$F$26,MATCH($C398,'Shultis Faw'!$A$2:$A$26,1))+($C398-INDEX('Shultis Faw'!$A$2:$A$26,MATCH($C398,'Shultis Faw'!$A$2:$A$26,1)))*(INDEX('Shultis Faw'!$F$2:$F$26,MATCH($C398,'Shultis Faw'!$A$2:$A$26,1)+1)-INDEX('Shultis Faw'!$F$2:$F$26,MATCH($C398,'Shultis Faw'!$A$2:$A$26,1)))/(INDEX('Shultis Faw'!$A$2:$A$26,MATCH($C398,'Shultis Faw'!$A$2:$A$26,1)+1)-INDEX('Shultis Faw'!$A$2:$A$26,MATCH($C398,'Shultis Faw'!$A$2:$A$26,1))),$C398*'Shultis Faw'!$F$2/'Shultis Faw'!$A$2)</f>
        <v>14.5002</v>
      </c>
      <c r="N398" s="83">
        <f>J398*(H398*'Externe blootstelling'!$D$23/2)^K398+L398*(TANH(((H398*'Externe blootstelling'!$D$23)/(2*M398))-2)-TANH(-2))/(1-TANH(-2))</f>
        <v>1.2761930109398354</v>
      </c>
      <c r="O398" s="83">
        <f>IF(N398=1,1+(I398-1)*H398*'Externe blootstelling'!$D$23/2,1+(I398-1)*(N398^(H398*'Externe blootstelling'!$D$23/2)-1)/(N398-1))</f>
        <v>1.7847259280209871</v>
      </c>
      <c r="P398" s="67">
        <f>G398*EXP(-H398*'Externe blootstelling'!$D$23/2)*O398</f>
        <v>2.8138792336654072E-5</v>
      </c>
      <c r="Q398" s="68"/>
    </row>
    <row r="399" spans="1:17" x14ac:dyDescent="0.2">
      <c r="A399" s="217"/>
      <c r="B399" s="64" t="s">
        <v>104</v>
      </c>
      <c r="C399" s="66">
        <v>1.5314000000000001</v>
      </c>
      <c r="D399" s="66">
        <f t="shared" si="26"/>
        <v>2.4502399999999999E-13</v>
      </c>
      <c r="E399" s="66">
        <v>6.0000000000000002E-5</v>
      </c>
      <c r="F399" s="66">
        <f>_xlfn.IFNA(INDEX('hp (pSv cm2)'!$B$2:$B$52,MATCH($C399,'hp (pSv cm2)'!$A$2:$A$52,1))+($C399-INDEX('hp (pSv cm2)'!$A$2:$A$52,MATCH($C399,'hp (pSv cm2)'!$A$2:$A$52,1)))*(INDEX('hp (pSv cm2)'!$B$2:$B$52,MATCH($C399,'hp (pSv cm2)'!$A$2:$A$52,1)+1)-INDEX('hp (pSv cm2)'!$B$2:$B$52,MATCH($C399,'hp (pSv cm2)'!$A$2:$A$52,1)))/(INDEX('hp (pSv cm2)'!$A$2:$A$52,MATCH($C399,'hp (pSv cm2)'!$A$2:$A$52,1)+1)-INDEX('hp (pSv cm2)'!$A$2:$A$52,MATCH($C399,'hp (pSv cm2)'!$A$2:$A$52,1))),$C399*'hp (pSv cm2)'!$B$2/'hp (pSv cm2)'!$A$2)</f>
        <v>6.2054080000000003</v>
      </c>
      <c r="G399" s="67">
        <f t="shared" si="27"/>
        <v>3.7232448000000003E-4</v>
      </c>
      <c r="H399" s="83">
        <f>_xlfn.IFNA(0.997*(INDEX('Mass attenuation coefficients'!$B$2:$B$37,MATCH($C399,'Mass attenuation coefficients'!$A$2:$A$37,1))+($C399-INDEX('Mass attenuation coefficients'!$A$2:$A$37,MATCH($C399,'Mass attenuation coefficients'!$A$2:$A$37,1)))*(INDEX('Mass attenuation coefficients'!$B$2:$B$37,MATCH($C399,'Mass attenuation coefficients'!$A$2:$A$37,1)+1)-INDEX('Mass attenuation coefficients'!$B$2:$B$37,MATCH($C399,'Mass attenuation coefficients'!$A$2:$A$37,1)))/(INDEX('Mass attenuation coefficients'!$A$2:$A$37,MATCH($C399,'Mass attenuation coefficients'!$A$2:$A$37,1)+1)-INDEX('Mass attenuation coefficients'!$A$2:$A$37,MATCH($C399,'Mass attenuation coefficients'!$A$2:$A$37,1)))),0.997*$C399*'Mass attenuation coefficients'!$B$2/'Mass attenuation coefficients'!$A$2)</f>
        <v>5.6858973808E-2</v>
      </c>
      <c r="I399" s="83">
        <f>_xlfn.IFNA(INDEX('Shultis Faw'!$C$2:$C$26,MATCH($C399,'Shultis Faw'!$A$2:$A$26,1))+($C399-INDEX('Shultis Faw'!$A$2:$A$26,MATCH($C399,'Shultis Faw'!$A$2:$A$26,1)))*(INDEX('Shultis Faw'!$C$2:$C$26,MATCH($C399,'Shultis Faw'!$A$2:$A$26,1)+1)-INDEX('Shultis Faw'!$C$2:$C$26,MATCH($C399,'Shultis Faw'!$A$2:$A$26,1)))/(INDEX('Shultis Faw'!$A$2:$A$26,MATCH($C399,'Shultis Faw'!$A$2:$A$26,1)+1)-INDEX('Shultis Faw'!$A$2:$A$26,MATCH($C399,'Shultis Faw'!$A$2:$A$26,1))),$C399*'Shultis Faw'!$C$2/'Shultis Faw'!$A$2)</f>
        <v>1.93272</v>
      </c>
      <c r="J399" s="83">
        <f>_xlfn.IFNA(INDEX('Shultis Faw'!$D$2:$D$26,MATCH($C399,'Shultis Faw'!$A$2:$A$26,1))+($C399-INDEX('Shultis Faw'!$A$2:$A$26,MATCH($C399,'Shultis Faw'!$A$2:$A$26,1)))*(INDEX('Shultis Faw'!$D$2:$D$26,MATCH($C399,'Shultis Faw'!$A$2:$A$26,1)+1)-INDEX('Shultis Faw'!$D$2:$D$26,MATCH($C399,'Shultis Faw'!$A$2:$A$26,1)))/(INDEX('Shultis Faw'!$A$2:$A$26,MATCH($C399,'Shultis Faw'!$A$2:$A$26,1)+1)-INDEX('Shultis Faw'!$A$2:$A$26,MATCH($C399,'Shultis Faw'!$A$2:$A$26,1))),$C399*'Shultis Faw'!$D$2/'Shultis Faw'!$A$2)</f>
        <v>1.2629712</v>
      </c>
      <c r="K399" s="83">
        <f>_xlfn.IFNA(INDEX('Shultis Faw'!$B$2:$B$26,MATCH($C399,'Shultis Faw'!$A$2:$A$26,1))+($C399-INDEX('Shultis Faw'!$A$2:$A$26,MATCH($C399,'Shultis Faw'!$A$2:$A$26,1)))*(INDEX('Shultis Faw'!$B$2:$B$26,MATCH($C399,'Shultis Faw'!$A$2:$A$26,1)+1)-INDEX('Shultis Faw'!$B$2:$B$26,MATCH($C399,'Shultis Faw'!$A$2:$A$26,1)))/(INDEX('Shultis Faw'!$A$2:$A$26,MATCH($C399,'Shultis Faw'!$A$2:$A$26,1)+1)-INDEX('Shultis Faw'!$A$2:$A$26,MATCH($C399,'Shultis Faw'!$A$2:$A$26,1))),$C399*'Shultis Faw'!$B$2/'Shultis Faw'!$A$2)</f>
        <v>-5.6806799999999998E-2</v>
      </c>
      <c r="L399" s="83">
        <f>_xlfn.IFNA(INDEX('Shultis Faw'!$E$2:$E$26,MATCH($C399,'Shultis Faw'!$A$2:$A$26,1))+($C399-INDEX('Shultis Faw'!$A$2:$A$26,MATCH($C399,'Shultis Faw'!$A$2:$A$26,1)))*(INDEX('Shultis Faw'!$E$2:$E$26,MATCH($C399,'Shultis Faw'!$A$2:$A$26,1)+1)-INDEX('Shultis Faw'!$E$2:$E$26,MATCH($C399,'Shultis Faw'!$A$2:$A$26,1)))/(INDEX('Shultis Faw'!$A$2:$A$26,MATCH($C399,'Shultis Faw'!$A$2:$A$26,1)+1)-INDEX('Shultis Faw'!$A$2:$A$26,MATCH($C399,'Shultis Faw'!$A$2:$A$26,1))),$C399*'Shultis Faw'!$E$2/'Shultis Faw'!$A$2)</f>
        <v>2.4066199999999999E-2</v>
      </c>
      <c r="M399" s="83">
        <f>_xlfn.IFNA(INDEX('Shultis Faw'!$F$2:$F$26,MATCH($C399,'Shultis Faw'!$A$2:$A$26,1))+($C399-INDEX('Shultis Faw'!$A$2:$A$26,MATCH($C399,'Shultis Faw'!$A$2:$A$26,1)))*(INDEX('Shultis Faw'!$F$2:$F$26,MATCH($C399,'Shultis Faw'!$A$2:$A$26,1)+1)-INDEX('Shultis Faw'!$F$2:$F$26,MATCH($C399,'Shultis Faw'!$A$2:$A$26,1)))/(INDEX('Shultis Faw'!$A$2:$A$26,MATCH($C399,'Shultis Faw'!$A$2:$A$26,1)+1)-INDEX('Shultis Faw'!$A$2:$A$26,MATCH($C399,'Shultis Faw'!$A$2:$A$26,1))),$C399*'Shultis Faw'!$F$2/'Shultis Faw'!$A$2)</f>
        <v>14.49174</v>
      </c>
      <c r="N399" s="83">
        <f>J399*(H399*'Externe blootstelling'!$D$23/2)^K399+L399*(TANH(((H399*'Externe blootstelling'!$D$23)/(2*M399))-2)-TANH(-2))/(1-TANH(-2))</f>
        <v>1.2744938186688175</v>
      </c>
      <c r="O399" s="83">
        <f>IF(N399=1,1+(I399-1)*H399*'Externe blootstelling'!$D$23/2,1+(I399-1)*(N399^(H399*'Externe blootstelling'!$D$23/2)-1)/(N399-1))</f>
        <v>1.7809140244982169</v>
      </c>
      <c r="P399" s="67">
        <f>G399*EXP(-H399*'Externe blootstelling'!$D$23/2)*O399</f>
        <v>2.8259304365769029E-4</v>
      </c>
      <c r="Q399" s="68"/>
    </row>
    <row r="400" spans="1:17" x14ac:dyDescent="0.2">
      <c r="A400" s="217"/>
      <c r="B400" s="64" t="s">
        <v>104</v>
      </c>
      <c r="C400" s="66">
        <v>1.5378099999999999</v>
      </c>
      <c r="D400" s="66">
        <f t="shared" si="26"/>
        <v>2.4604959999999997E-13</v>
      </c>
      <c r="E400" s="66">
        <v>5.2999999999999998E-4</v>
      </c>
      <c r="F400" s="66">
        <f>_xlfn.IFNA(INDEX('hp (pSv cm2)'!$B$2:$B$52,MATCH($C400,'hp (pSv cm2)'!$A$2:$A$52,1))+($C400-INDEX('hp (pSv cm2)'!$A$2:$A$52,MATCH($C400,'hp (pSv cm2)'!$A$2:$A$52,1)))*(INDEX('hp (pSv cm2)'!$B$2:$B$52,MATCH($C400,'hp (pSv cm2)'!$A$2:$A$52,1)+1)-INDEX('hp (pSv cm2)'!$B$2:$B$52,MATCH($C400,'hp (pSv cm2)'!$A$2:$A$52,1)))/(INDEX('hp (pSv cm2)'!$A$2:$A$52,MATCH($C400,'hp (pSv cm2)'!$A$2:$A$52,1)+1)-INDEX('hp (pSv cm2)'!$A$2:$A$52,MATCH($C400,'hp (pSv cm2)'!$A$2:$A$52,1))),$C400*'hp (pSv cm2)'!$B$2/'hp (pSv cm2)'!$A$2)</f>
        <v>6.2228431999999998</v>
      </c>
      <c r="G400" s="67">
        <f t="shared" si="27"/>
        <v>3.2981068959999998E-3</v>
      </c>
      <c r="H400" s="83">
        <f>_xlfn.IFNA(0.997*(INDEX('Mass attenuation coefficients'!$B$2:$B$37,MATCH($C400,'Mass attenuation coefficients'!$A$2:$A$37,1))+($C400-INDEX('Mass attenuation coefficients'!$A$2:$A$37,MATCH($C400,'Mass attenuation coefficients'!$A$2:$A$37,1)))*(INDEX('Mass attenuation coefficients'!$B$2:$B$37,MATCH($C400,'Mass attenuation coefficients'!$A$2:$A$37,1)+1)-INDEX('Mass attenuation coefficients'!$B$2:$B$37,MATCH($C400,'Mass attenuation coefficients'!$A$2:$A$37,1)))/(INDEX('Mass attenuation coefficients'!$A$2:$A$37,MATCH($C400,'Mass attenuation coefficients'!$A$2:$A$37,1)+1)-INDEX('Mass attenuation coefficients'!$A$2:$A$37,MATCH($C400,'Mass attenuation coefficients'!$A$2:$A$37,1)))),0.997*$C400*'Mass attenuation coefficients'!$B$2/'Mass attenuation coefficients'!$A$2)</f>
        <v>5.6755187703200004E-2</v>
      </c>
      <c r="I400" s="83">
        <f>_xlfn.IFNA(INDEX('Shultis Faw'!$C$2:$C$26,MATCH($C400,'Shultis Faw'!$A$2:$A$26,1))+($C400-INDEX('Shultis Faw'!$A$2:$A$26,MATCH($C400,'Shultis Faw'!$A$2:$A$26,1)))*(INDEX('Shultis Faw'!$C$2:$C$26,MATCH($C400,'Shultis Faw'!$A$2:$A$26,1)+1)-INDEX('Shultis Faw'!$C$2:$C$26,MATCH($C400,'Shultis Faw'!$A$2:$A$26,1)))/(INDEX('Shultis Faw'!$A$2:$A$26,MATCH($C400,'Shultis Faw'!$A$2:$A$26,1)+1)-INDEX('Shultis Faw'!$A$2:$A$26,MATCH($C400,'Shultis Faw'!$A$2:$A$26,1))),$C400*'Shultis Faw'!$C$2/'Shultis Faw'!$A$2)</f>
        <v>1.931438</v>
      </c>
      <c r="J400" s="83">
        <f>_xlfn.IFNA(INDEX('Shultis Faw'!$D$2:$D$26,MATCH($C400,'Shultis Faw'!$A$2:$A$26,1))+($C400-INDEX('Shultis Faw'!$A$2:$A$26,MATCH($C400,'Shultis Faw'!$A$2:$A$26,1)))*(INDEX('Shultis Faw'!$D$2:$D$26,MATCH($C400,'Shultis Faw'!$A$2:$A$26,1)+1)-INDEX('Shultis Faw'!$D$2:$D$26,MATCH($C400,'Shultis Faw'!$A$2:$A$26,1)))/(INDEX('Shultis Faw'!$A$2:$A$26,MATCH($C400,'Shultis Faw'!$A$2:$A$26,1)+1)-INDEX('Shultis Faw'!$A$2:$A$26,MATCH($C400,'Shultis Faw'!$A$2:$A$26,1))),$C400*'Shultis Faw'!$D$2/'Shultis Faw'!$A$2)</f>
        <v>1.2617404799999998</v>
      </c>
      <c r="K400" s="83">
        <f>_xlfn.IFNA(INDEX('Shultis Faw'!$B$2:$B$26,MATCH($C400,'Shultis Faw'!$A$2:$A$26,1))+($C400-INDEX('Shultis Faw'!$A$2:$A$26,MATCH($C400,'Shultis Faw'!$A$2:$A$26,1)))*(INDEX('Shultis Faw'!$B$2:$B$26,MATCH($C400,'Shultis Faw'!$A$2:$A$26,1)+1)-INDEX('Shultis Faw'!$B$2:$B$26,MATCH($C400,'Shultis Faw'!$A$2:$A$26,1)))/(INDEX('Shultis Faw'!$A$2:$A$26,MATCH($C400,'Shultis Faw'!$A$2:$A$26,1)+1)-INDEX('Shultis Faw'!$A$2:$A$26,MATCH($C400,'Shultis Faw'!$A$2:$A$26,1))),$C400*'Shultis Faw'!$B$2/'Shultis Faw'!$A$2)</f>
        <v>-5.6563220000000004E-2</v>
      </c>
      <c r="L400" s="83">
        <f>_xlfn.IFNA(INDEX('Shultis Faw'!$E$2:$E$26,MATCH($C400,'Shultis Faw'!$A$2:$A$26,1))+($C400-INDEX('Shultis Faw'!$A$2:$A$26,MATCH($C400,'Shultis Faw'!$A$2:$A$26,1)))*(INDEX('Shultis Faw'!$E$2:$E$26,MATCH($C400,'Shultis Faw'!$A$2:$A$26,1)+1)-INDEX('Shultis Faw'!$E$2:$E$26,MATCH($C400,'Shultis Faw'!$A$2:$A$26,1)))/(INDEX('Shultis Faw'!$A$2:$A$26,MATCH($C400,'Shultis Faw'!$A$2:$A$26,1)+1)-INDEX('Shultis Faw'!$A$2:$A$26,MATCH($C400,'Shultis Faw'!$A$2:$A$26,1))),$C400*'Shultis Faw'!$E$2/'Shultis Faw'!$A$2)</f>
        <v>2.3957230000000003E-2</v>
      </c>
      <c r="M400" s="83">
        <f>_xlfn.IFNA(INDEX('Shultis Faw'!$F$2:$F$26,MATCH($C400,'Shultis Faw'!$A$2:$A$26,1))+($C400-INDEX('Shultis Faw'!$A$2:$A$26,MATCH($C400,'Shultis Faw'!$A$2:$A$26,1)))*(INDEX('Shultis Faw'!$F$2:$F$26,MATCH($C400,'Shultis Faw'!$A$2:$A$26,1)+1)-INDEX('Shultis Faw'!$F$2:$F$26,MATCH($C400,'Shultis Faw'!$A$2:$A$26,1)))/(INDEX('Shultis Faw'!$A$2:$A$26,MATCH($C400,'Shultis Faw'!$A$2:$A$26,1)+1)-INDEX('Shultis Faw'!$A$2:$A$26,MATCH($C400,'Shultis Faw'!$A$2:$A$26,1))),$C400*'Shultis Faw'!$F$2/'Shultis Faw'!$A$2)</f>
        <v>14.485970999999999</v>
      </c>
      <c r="N400" s="83">
        <f>J400*(H400*'Externe blootstelling'!$D$23/2)^K400+L400*(TANH(((H400*'Externe blootstelling'!$D$23)/(2*M400))-2)-TANH(-2))/(1-TANH(-2))</f>
        <v>1.2733338225966262</v>
      </c>
      <c r="O400" s="83">
        <f>IF(N400=1,1+(I400-1)*H400*'Externe blootstelling'!$D$23/2,1+(I400-1)*(N400^(H400*'Externe blootstelling'!$D$23/2)-1)/(N400-1))</f>
        <v>1.7783218171645738</v>
      </c>
      <c r="P400" s="67">
        <f>G400*EXP(-H400*'Externe blootstelling'!$D$23/2)*O400</f>
        <v>2.5035029738864211E-3</v>
      </c>
      <c r="Q400" s="68"/>
    </row>
    <row r="401" spans="1:17" x14ac:dyDescent="0.2">
      <c r="A401" s="217"/>
      <c r="B401" s="64" t="s">
        <v>104</v>
      </c>
      <c r="C401" s="66">
        <v>1.554</v>
      </c>
      <c r="D401" s="66">
        <f t="shared" ref="D401:D408" si="28">C401*1000000*1.6E-19</f>
        <v>2.4863999999999999E-13</v>
      </c>
      <c r="E401" s="66">
        <v>1.1000000000000001E-5</v>
      </c>
      <c r="F401" s="66">
        <f>_xlfn.IFNA(INDEX('hp (pSv cm2)'!$B$2:$B$52,MATCH($C401,'hp (pSv cm2)'!$A$2:$A$52,1))+($C401-INDEX('hp (pSv cm2)'!$A$2:$A$52,MATCH($C401,'hp (pSv cm2)'!$A$2:$A$52,1)))*(INDEX('hp (pSv cm2)'!$B$2:$B$52,MATCH($C401,'hp (pSv cm2)'!$A$2:$A$52,1)+1)-INDEX('hp (pSv cm2)'!$B$2:$B$52,MATCH($C401,'hp (pSv cm2)'!$A$2:$A$52,1)))/(INDEX('hp (pSv cm2)'!$A$2:$A$52,MATCH($C401,'hp (pSv cm2)'!$A$2:$A$52,1)+1)-INDEX('hp (pSv cm2)'!$A$2:$A$52,MATCH($C401,'hp (pSv cm2)'!$A$2:$A$52,1))),$C401*'hp (pSv cm2)'!$B$2/'hp (pSv cm2)'!$A$2)</f>
        <v>6.2668800000000005</v>
      </c>
      <c r="G401" s="67">
        <f t="shared" ref="G401:G408" si="29">F401*E401</f>
        <v>6.893568000000001E-5</v>
      </c>
      <c r="H401" s="83">
        <f>_xlfn.IFNA(0.997*(INDEX('Mass attenuation coefficients'!$B$2:$B$37,MATCH($C401,'Mass attenuation coefficients'!$A$2:$A$37,1))+($C401-INDEX('Mass attenuation coefficients'!$A$2:$A$37,MATCH($C401,'Mass attenuation coefficients'!$A$2:$A$37,1)))*(INDEX('Mass attenuation coefficients'!$B$2:$B$37,MATCH($C401,'Mass attenuation coefficients'!$A$2:$A$37,1)+1)-INDEX('Mass attenuation coefficients'!$B$2:$B$37,MATCH($C401,'Mass attenuation coefficients'!$A$2:$A$37,1)))/(INDEX('Mass attenuation coefficients'!$A$2:$A$37,MATCH($C401,'Mass attenuation coefficients'!$A$2:$A$37,1)+1)-INDEX('Mass attenuation coefficients'!$A$2:$A$37,MATCH($C401,'Mass attenuation coefficients'!$A$2:$A$37,1)))),0.997*$C401*'Mass attenuation coefficients'!$B$2/'Mass attenuation coefficients'!$A$2)</f>
        <v>5.6493050879999999E-2</v>
      </c>
      <c r="I401" s="83">
        <f>_xlfn.IFNA(INDEX('Shultis Faw'!$C$2:$C$26,MATCH($C401,'Shultis Faw'!$A$2:$A$26,1))+($C401-INDEX('Shultis Faw'!$A$2:$A$26,MATCH($C401,'Shultis Faw'!$A$2:$A$26,1)))*(INDEX('Shultis Faw'!$C$2:$C$26,MATCH($C401,'Shultis Faw'!$A$2:$A$26,1)+1)-INDEX('Shultis Faw'!$C$2:$C$26,MATCH($C401,'Shultis Faw'!$A$2:$A$26,1)))/(INDEX('Shultis Faw'!$A$2:$A$26,MATCH($C401,'Shultis Faw'!$A$2:$A$26,1)+1)-INDEX('Shultis Faw'!$A$2:$A$26,MATCH($C401,'Shultis Faw'!$A$2:$A$26,1))),$C401*'Shultis Faw'!$C$2/'Shultis Faw'!$A$2)</f>
        <v>1.9282000000000001</v>
      </c>
      <c r="J401" s="83">
        <f>_xlfn.IFNA(INDEX('Shultis Faw'!$D$2:$D$26,MATCH($C401,'Shultis Faw'!$A$2:$A$26,1))+($C401-INDEX('Shultis Faw'!$A$2:$A$26,MATCH($C401,'Shultis Faw'!$A$2:$A$26,1)))*(INDEX('Shultis Faw'!$D$2:$D$26,MATCH($C401,'Shultis Faw'!$A$2:$A$26,1)+1)-INDEX('Shultis Faw'!$D$2:$D$26,MATCH($C401,'Shultis Faw'!$A$2:$A$26,1)))/(INDEX('Shultis Faw'!$A$2:$A$26,MATCH($C401,'Shultis Faw'!$A$2:$A$26,1)+1)-INDEX('Shultis Faw'!$A$2:$A$26,MATCH($C401,'Shultis Faw'!$A$2:$A$26,1))),$C401*'Shultis Faw'!$D$2/'Shultis Faw'!$A$2)</f>
        <v>1.258632</v>
      </c>
      <c r="K401" s="83">
        <f>_xlfn.IFNA(INDEX('Shultis Faw'!$B$2:$B$26,MATCH($C401,'Shultis Faw'!$A$2:$A$26,1))+($C401-INDEX('Shultis Faw'!$A$2:$A$26,MATCH($C401,'Shultis Faw'!$A$2:$A$26,1)))*(INDEX('Shultis Faw'!$B$2:$B$26,MATCH($C401,'Shultis Faw'!$A$2:$A$26,1)+1)-INDEX('Shultis Faw'!$B$2:$B$26,MATCH($C401,'Shultis Faw'!$A$2:$A$26,1)))/(INDEX('Shultis Faw'!$A$2:$A$26,MATCH($C401,'Shultis Faw'!$A$2:$A$26,1)+1)-INDEX('Shultis Faw'!$A$2:$A$26,MATCH($C401,'Shultis Faw'!$A$2:$A$26,1))),$C401*'Shultis Faw'!$B$2/'Shultis Faw'!$A$2)</f>
        <v>-5.5947999999999998E-2</v>
      </c>
      <c r="L401" s="83">
        <f>_xlfn.IFNA(INDEX('Shultis Faw'!$E$2:$E$26,MATCH($C401,'Shultis Faw'!$A$2:$A$26,1))+($C401-INDEX('Shultis Faw'!$A$2:$A$26,MATCH($C401,'Shultis Faw'!$A$2:$A$26,1)))*(INDEX('Shultis Faw'!$E$2:$E$26,MATCH($C401,'Shultis Faw'!$A$2:$A$26,1)+1)-INDEX('Shultis Faw'!$E$2:$E$26,MATCH($C401,'Shultis Faw'!$A$2:$A$26,1)))/(INDEX('Shultis Faw'!$A$2:$A$26,MATCH($C401,'Shultis Faw'!$A$2:$A$26,1)+1)-INDEX('Shultis Faw'!$A$2:$A$26,MATCH($C401,'Shultis Faw'!$A$2:$A$26,1))),$C401*'Shultis Faw'!$E$2/'Shultis Faw'!$A$2)</f>
        <v>2.3681999999999998E-2</v>
      </c>
      <c r="M401" s="83">
        <f>_xlfn.IFNA(INDEX('Shultis Faw'!$F$2:$F$26,MATCH($C401,'Shultis Faw'!$A$2:$A$26,1))+($C401-INDEX('Shultis Faw'!$A$2:$A$26,MATCH($C401,'Shultis Faw'!$A$2:$A$26,1)))*(INDEX('Shultis Faw'!$F$2:$F$26,MATCH($C401,'Shultis Faw'!$A$2:$A$26,1)+1)-INDEX('Shultis Faw'!$F$2:$F$26,MATCH($C401,'Shultis Faw'!$A$2:$A$26,1)))/(INDEX('Shultis Faw'!$A$2:$A$26,MATCH($C401,'Shultis Faw'!$A$2:$A$26,1)+1)-INDEX('Shultis Faw'!$A$2:$A$26,MATCH($C401,'Shultis Faw'!$A$2:$A$26,1))),$C401*'Shultis Faw'!$F$2/'Shultis Faw'!$A$2)</f>
        <v>14.471399999999999</v>
      </c>
      <c r="N401" s="83">
        <f>J401*(H401*'Externe blootstelling'!$D$23/2)^K401+L401*(TANH(((H401*'Externe blootstelling'!$D$23)/(2*M401))-2)-TANH(-2))/(1-TANH(-2))</f>
        <v>1.2703993112449017</v>
      </c>
      <c r="O401" s="83">
        <f>IF(N401=1,1+(I401-1)*H401*'Externe blootstelling'!$D$23/2,1+(I401-1)*(N401^(H401*'Externe blootstelling'!$D$23/2)-1)/(N401-1))</f>
        <v>1.7718004335515245</v>
      </c>
      <c r="P401" s="67">
        <f>G401*EXP(-H401*'Externe blootstelling'!$D$23/2)*O401</f>
        <v>5.2340704466031547E-5</v>
      </c>
      <c r="Q401" s="68"/>
    </row>
    <row r="402" spans="1:17" x14ac:dyDescent="0.2">
      <c r="A402" s="217"/>
      <c r="B402" s="64" t="s">
        <v>104</v>
      </c>
      <c r="C402" s="66">
        <v>1.5964803999999999</v>
      </c>
      <c r="D402" s="66">
        <f t="shared" si="28"/>
        <v>2.5543686399999998E-13</v>
      </c>
      <c r="E402" s="66">
        <v>1.7829999999999999E-2</v>
      </c>
      <c r="F402" s="66">
        <f>_xlfn.IFNA(INDEX('hp (pSv cm2)'!$B$2:$B$52,MATCH($C402,'hp (pSv cm2)'!$A$2:$A$52,1))+($C402-INDEX('hp (pSv cm2)'!$A$2:$A$52,MATCH($C402,'hp (pSv cm2)'!$A$2:$A$52,1)))*(INDEX('hp (pSv cm2)'!$B$2:$B$52,MATCH($C402,'hp (pSv cm2)'!$A$2:$A$52,1)+1)-INDEX('hp (pSv cm2)'!$B$2:$B$52,MATCH($C402,'hp (pSv cm2)'!$A$2:$A$52,1)))/(INDEX('hp (pSv cm2)'!$A$2:$A$52,MATCH($C402,'hp (pSv cm2)'!$A$2:$A$52,1)+1)-INDEX('hp (pSv cm2)'!$A$2:$A$52,MATCH($C402,'hp (pSv cm2)'!$A$2:$A$52,1))),$C402*'hp (pSv cm2)'!$B$2/'hp (pSv cm2)'!$A$2)</f>
        <v>6.3824266879999998</v>
      </c>
      <c r="G402" s="67">
        <f t="shared" si="29"/>
        <v>0.11379866784703999</v>
      </c>
      <c r="H402" s="83">
        <f>_xlfn.IFNA(0.997*(INDEX('Mass attenuation coefficients'!$B$2:$B$37,MATCH($C402,'Mass attenuation coefficients'!$A$2:$A$37,1))+($C402-INDEX('Mass attenuation coefficients'!$A$2:$A$37,MATCH($C402,'Mass attenuation coefficients'!$A$2:$A$37,1)))*(INDEX('Mass attenuation coefficients'!$B$2:$B$37,MATCH($C402,'Mass attenuation coefficients'!$A$2:$A$37,1)+1)-INDEX('Mass attenuation coefficients'!$B$2:$B$37,MATCH($C402,'Mass attenuation coefficients'!$A$2:$A$37,1)))/(INDEX('Mass attenuation coefficients'!$A$2:$A$37,MATCH($C402,'Mass attenuation coefficients'!$A$2:$A$37,1)+1)-INDEX('Mass attenuation coefficients'!$A$2:$A$37,MATCH($C402,'Mass attenuation coefficients'!$A$2:$A$37,1)))),0.997*$C402*'Mass attenuation coefficients'!$B$2/'Mass attenuation coefficients'!$A$2)</f>
        <v>5.5805238829088E-2</v>
      </c>
      <c r="I402" s="83">
        <f>_xlfn.IFNA(INDEX('Shultis Faw'!$C$2:$C$26,MATCH($C402,'Shultis Faw'!$A$2:$A$26,1))+($C402-INDEX('Shultis Faw'!$A$2:$A$26,MATCH($C402,'Shultis Faw'!$A$2:$A$26,1)))*(INDEX('Shultis Faw'!$C$2:$C$26,MATCH($C402,'Shultis Faw'!$A$2:$A$26,1)+1)-INDEX('Shultis Faw'!$C$2:$C$26,MATCH($C402,'Shultis Faw'!$A$2:$A$26,1)))/(INDEX('Shultis Faw'!$A$2:$A$26,MATCH($C402,'Shultis Faw'!$A$2:$A$26,1)+1)-INDEX('Shultis Faw'!$A$2:$A$26,MATCH($C402,'Shultis Faw'!$A$2:$A$26,1))),$C402*'Shultis Faw'!$C$2/'Shultis Faw'!$A$2)</f>
        <v>1.9197039200000001</v>
      </c>
      <c r="J402" s="83">
        <f>_xlfn.IFNA(INDEX('Shultis Faw'!$D$2:$D$26,MATCH($C402,'Shultis Faw'!$A$2:$A$26,1))+($C402-INDEX('Shultis Faw'!$A$2:$A$26,MATCH($C402,'Shultis Faw'!$A$2:$A$26,1)))*(INDEX('Shultis Faw'!$D$2:$D$26,MATCH($C402,'Shultis Faw'!$A$2:$A$26,1)+1)-INDEX('Shultis Faw'!$D$2:$D$26,MATCH($C402,'Shultis Faw'!$A$2:$A$26,1)))/(INDEX('Shultis Faw'!$A$2:$A$26,MATCH($C402,'Shultis Faw'!$A$2:$A$26,1)+1)-INDEX('Shultis Faw'!$A$2:$A$26,MATCH($C402,'Shultis Faw'!$A$2:$A$26,1))),$C402*'Shultis Faw'!$D$2/'Shultis Faw'!$A$2)</f>
        <v>1.2504757631999999</v>
      </c>
      <c r="K402" s="83">
        <f>_xlfn.IFNA(INDEX('Shultis Faw'!$B$2:$B$26,MATCH($C402,'Shultis Faw'!$A$2:$A$26,1))+($C402-INDEX('Shultis Faw'!$A$2:$A$26,MATCH($C402,'Shultis Faw'!$A$2:$A$26,1)))*(INDEX('Shultis Faw'!$B$2:$B$26,MATCH($C402,'Shultis Faw'!$A$2:$A$26,1)+1)-INDEX('Shultis Faw'!$B$2:$B$26,MATCH($C402,'Shultis Faw'!$A$2:$A$26,1)))/(INDEX('Shultis Faw'!$A$2:$A$26,MATCH($C402,'Shultis Faw'!$A$2:$A$26,1)+1)-INDEX('Shultis Faw'!$A$2:$A$26,MATCH($C402,'Shultis Faw'!$A$2:$A$26,1))),$C402*'Shultis Faw'!$B$2/'Shultis Faw'!$A$2)</f>
        <v>-5.4333744800000007E-2</v>
      </c>
      <c r="L402" s="83">
        <f>_xlfn.IFNA(INDEX('Shultis Faw'!$E$2:$E$26,MATCH($C402,'Shultis Faw'!$A$2:$A$26,1))+($C402-INDEX('Shultis Faw'!$A$2:$A$26,MATCH($C402,'Shultis Faw'!$A$2:$A$26,1)))*(INDEX('Shultis Faw'!$E$2:$E$26,MATCH($C402,'Shultis Faw'!$A$2:$A$26,1)+1)-INDEX('Shultis Faw'!$E$2:$E$26,MATCH($C402,'Shultis Faw'!$A$2:$A$26,1)))/(INDEX('Shultis Faw'!$A$2:$A$26,MATCH($C402,'Shultis Faw'!$A$2:$A$26,1)+1)-INDEX('Shultis Faw'!$A$2:$A$26,MATCH($C402,'Shultis Faw'!$A$2:$A$26,1))),$C402*'Shultis Faw'!$E$2/'Shultis Faw'!$A$2)</f>
        <v>2.2959833200000002E-2</v>
      </c>
      <c r="M402" s="83">
        <f>_xlfn.IFNA(INDEX('Shultis Faw'!$F$2:$F$26,MATCH($C402,'Shultis Faw'!$A$2:$A$26,1))+($C402-INDEX('Shultis Faw'!$A$2:$A$26,MATCH($C402,'Shultis Faw'!$A$2:$A$26,1)))*(INDEX('Shultis Faw'!$F$2:$F$26,MATCH($C402,'Shultis Faw'!$A$2:$A$26,1)+1)-INDEX('Shultis Faw'!$F$2:$F$26,MATCH($C402,'Shultis Faw'!$A$2:$A$26,1)))/(INDEX('Shultis Faw'!$A$2:$A$26,MATCH($C402,'Shultis Faw'!$A$2:$A$26,1)+1)-INDEX('Shultis Faw'!$A$2:$A$26,MATCH($C402,'Shultis Faw'!$A$2:$A$26,1))),$C402*'Shultis Faw'!$F$2/'Shultis Faw'!$A$2)</f>
        <v>14.433167640000001</v>
      </c>
      <c r="N402" s="83">
        <f>J402*(H402*'Externe blootstelling'!$D$23/2)^K402+L402*(TANH(((H402*'Externe blootstelling'!$D$23)/(2*M402))-2)-TANH(-2))/(1-TANH(-2))</f>
        <v>1.262667811589314</v>
      </c>
      <c r="O402" s="83">
        <f>IF(N402=1,1+(I402-1)*H402*'Externe blootstelling'!$D$23/2,1+(I402-1)*(N402^(H402*'Externe blootstelling'!$D$23/2)-1)/(N402-1))</f>
        <v>1.7548641664699807</v>
      </c>
      <c r="P402" s="67">
        <f>G402*EXP(-H402*'Externe blootstelling'!$D$23/2)*O402</f>
        <v>8.6465344236861572E-2</v>
      </c>
      <c r="Q402" s="68"/>
    </row>
    <row r="403" spans="1:17" x14ac:dyDescent="0.2">
      <c r="A403" s="217"/>
      <c r="B403" s="64" t="s">
        <v>104</v>
      </c>
      <c r="C403" s="66">
        <v>1.6673</v>
      </c>
      <c r="D403" s="66">
        <f t="shared" si="28"/>
        <v>2.6676799999999999E-13</v>
      </c>
      <c r="E403" s="66">
        <v>1.9000000000000001E-5</v>
      </c>
      <c r="F403" s="66">
        <f>_xlfn.IFNA(INDEX('hp (pSv cm2)'!$B$2:$B$52,MATCH($C403,'hp (pSv cm2)'!$A$2:$A$52,1))+($C403-INDEX('hp (pSv cm2)'!$A$2:$A$52,MATCH($C403,'hp (pSv cm2)'!$A$2:$A$52,1)))*(INDEX('hp (pSv cm2)'!$B$2:$B$52,MATCH($C403,'hp (pSv cm2)'!$A$2:$A$52,1)+1)-INDEX('hp (pSv cm2)'!$B$2:$B$52,MATCH($C403,'hp (pSv cm2)'!$A$2:$A$52,1)))/(INDEX('hp (pSv cm2)'!$A$2:$A$52,MATCH($C403,'hp (pSv cm2)'!$A$2:$A$52,1)+1)-INDEX('hp (pSv cm2)'!$A$2:$A$52,MATCH($C403,'hp (pSv cm2)'!$A$2:$A$52,1))),$C403*'hp (pSv cm2)'!$B$2/'hp (pSv cm2)'!$A$2)</f>
        <v>6.575056</v>
      </c>
      <c r="G403" s="67">
        <f t="shared" si="29"/>
        <v>1.2492606400000002E-4</v>
      </c>
      <c r="H403" s="83">
        <f>_xlfn.IFNA(0.997*(INDEX('Mass attenuation coefficients'!$B$2:$B$37,MATCH($C403,'Mass attenuation coefficients'!$A$2:$A$37,1))+($C403-INDEX('Mass attenuation coefficients'!$A$2:$A$37,MATCH($C403,'Mass attenuation coefficients'!$A$2:$A$37,1)))*(INDEX('Mass attenuation coefficients'!$B$2:$B$37,MATCH($C403,'Mass attenuation coefficients'!$A$2:$A$37,1)+1)-INDEX('Mass attenuation coefficients'!$B$2:$B$37,MATCH($C403,'Mass attenuation coefficients'!$A$2:$A$37,1)))/(INDEX('Mass attenuation coefficients'!$A$2:$A$37,MATCH($C403,'Mass attenuation coefficients'!$A$2:$A$37,1)+1)-INDEX('Mass attenuation coefficients'!$A$2:$A$37,MATCH($C403,'Mass attenuation coefficients'!$A$2:$A$37,1)))),0.997*$C403*'Mass attenuation coefficients'!$B$2/'Mass attenuation coefficients'!$A$2)</f>
        <v>5.4658578855999999E-2</v>
      </c>
      <c r="I403" s="83">
        <f>_xlfn.IFNA(INDEX('Shultis Faw'!$C$2:$C$26,MATCH($C403,'Shultis Faw'!$A$2:$A$26,1))+($C403-INDEX('Shultis Faw'!$A$2:$A$26,MATCH($C403,'Shultis Faw'!$A$2:$A$26,1)))*(INDEX('Shultis Faw'!$C$2:$C$26,MATCH($C403,'Shultis Faw'!$A$2:$A$26,1)+1)-INDEX('Shultis Faw'!$C$2:$C$26,MATCH($C403,'Shultis Faw'!$A$2:$A$26,1)))/(INDEX('Shultis Faw'!$A$2:$A$26,MATCH($C403,'Shultis Faw'!$A$2:$A$26,1)+1)-INDEX('Shultis Faw'!$A$2:$A$26,MATCH($C403,'Shultis Faw'!$A$2:$A$26,1))),$C403*'Shultis Faw'!$C$2/'Shultis Faw'!$A$2)</f>
        <v>1.90554</v>
      </c>
      <c r="J403" s="83">
        <f>_xlfn.IFNA(INDEX('Shultis Faw'!$D$2:$D$26,MATCH($C403,'Shultis Faw'!$A$2:$A$26,1))+($C403-INDEX('Shultis Faw'!$A$2:$A$26,MATCH($C403,'Shultis Faw'!$A$2:$A$26,1)))*(INDEX('Shultis Faw'!$D$2:$D$26,MATCH($C403,'Shultis Faw'!$A$2:$A$26,1)+1)-INDEX('Shultis Faw'!$D$2:$D$26,MATCH($C403,'Shultis Faw'!$A$2:$A$26,1)))/(INDEX('Shultis Faw'!$A$2:$A$26,MATCH($C403,'Shultis Faw'!$A$2:$A$26,1)+1)-INDEX('Shultis Faw'!$A$2:$A$26,MATCH($C403,'Shultis Faw'!$A$2:$A$26,1))),$C403*'Shultis Faw'!$D$2/'Shultis Faw'!$A$2)</f>
        <v>1.2368783999999999</v>
      </c>
      <c r="K403" s="83">
        <f>_xlfn.IFNA(INDEX('Shultis Faw'!$B$2:$B$26,MATCH($C403,'Shultis Faw'!$A$2:$A$26,1))+($C403-INDEX('Shultis Faw'!$A$2:$A$26,MATCH($C403,'Shultis Faw'!$A$2:$A$26,1)))*(INDEX('Shultis Faw'!$B$2:$B$26,MATCH($C403,'Shultis Faw'!$A$2:$A$26,1)+1)-INDEX('Shultis Faw'!$B$2:$B$26,MATCH($C403,'Shultis Faw'!$A$2:$A$26,1)))/(INDEX('Shultis Faw'!$A$2:$A$26,MATCH($C403,'Shultis Faw'!$A$2:$A$26,1)+1)-INDEX('Shultis Faw'!$A$2:$A$26,MATCH($C403,'Shultis Faw'!$A$2:$A$26,1))),$C403*'Shultis Faw'!$B$2/'Shultis Faw'!$A$2)</f>
        <v>-5.1642600000000004E-2</v>
      </c>
      <c r="L403" s="83">
        <f>_xlfn.IFNA(INDEX('Shultis Faw'!$E$2:$E$26,MATCH($C403,'Shultis Faw'!$A$2:$A$26,1))+($C403-INDEX('Shultis Faw'!$A$2:$A$26,MATCH($C403,'Shultis Faw'!$A$2:$A$26,1)))*(INDEX('Shultis Faw'!$E$2:$E$26,MATCH($C403,'Shultis Faw'!$A$2:$A$26,1)+1)-INDEX('Shultis Faw'!$E$2:$E$26,MATCH($C403,'Shultis Faw'!$A$2:$A$26,1)))/(INDEX('Shultis Faw'!$A$2:$A$26,MATCH($C403,'Shultis Faw'!$A$2:$A$26,1)+1)-INDEX('Shultis Faw'!$A$2:$A$26,MATCH($C403,'Shultis Faw'!$A$2:$A$26,1))),$C403*'Shultis Faw'!$E$2/'Shultis Faw'!$A$2)</f>
        <v>2.1755900000000002E-2</v>
      </c>
      <c r="M403" s="83">
        <f>_xlfn.IFNA(INDEX('Shultis Faw'!$F$2:$F$26,MATCH($C403,'Shultis Faw'!$A$2:$A$26,1))+($C403-INDEX('Shultis Faw'!$A$2:$A$26,MATCH($C403,'Shultis Faw'!$A$2:$A$26,1)))*(INDEX('Shultis Faw'!$F$2:$F$26,MATCH($C403,'Shultis Faw'!$A$2:$A$26,1)+1)-INDEX('Shultis Faw'!$F$2:$F$26,MATCH($C403,'Shultis Faw'!$A$2:$A$26,1)))/(INDEX('Shultis Faw'!$A$2:$A$26,MATCH($C403,'Shultis Faw'!$A$2:$A$26,1)+1)-INDEX('Shultis Faw'!$A$2:$A$26,MATCH($C403,'Shultis Faw'!$A$2:$A$26,1))),$C403*'Shultis Faw'!$F$2/'Shultis Faw'!$A$2)</f>
        <v>14.369429999999999</v>
      </c>
      <c r="N403" s="83">
        <f>J403*(H403*'Externe blootstelling'!$D$23/2)^K403+L403*(TANH(((H403*'Externe blootstelling'!$D$23)/(2*M403))-2)-TANH(-2))/(1-TANH(-2))</f>
        <v>1.2496765014651625</v>
      </c>
      <c r="O403" s="83">
        <f>IF(N403=1,1+(I403-1)*H403*'Externe blootstelling'!$D$23/2,1+(I403-1)*(N403^(H403*'Externe blootstelling'!$D$23/2)-1)/(N403-1))</f>
        <v>1.7271853283018206</v>
      </c>
      <c r="P403" s="67">
        <f>G403*EXP(-H403*'Externe blootstelling'!$D$23/2)*O403</f>
        <v>9.5043672562309384E-5</v>
      </c>
      <c r="Q403" s="68"/>
    </row>
    <row r="404" spans="1:17" x14ac:dyDescent="0.2">
      <c r="A404" s="217"/>
      <c r="B404" s="64" t="s">
        <v>104</v>
      </c>
      <c r="C404" s="66">
        <v>1.6739999999999999</v>
      </c>
      <c r="D404" s="66">
        <f t="shared" si="28"/>
        <v>2.6784E-13</v>
      </c>
      <c r="E404" s="66">
        <v>1.7E-5</v>
      </c>
      <c r="F404" s="66">
        <f>_xlfn.IFNA(INDEX('hp (pSv cm2)'!$B$2:$B$52,MATCH($C404,'hp (pSv cm2)'!$A$2:$A$52,1))+($C404-INDEX('hp (pSv cm2)'!$A$2:$A$52,MATCH($C404,'hp (pSv cm2)'!$A$2:$A$52,1)))*(INDEX('hp (pSv cm2)'!$B$2:$B$52,MATCH($C404,'hp (pSv cm2)'!$A$2:$A$52,1)+1)-INDEX('hp (pSv cm2)'!$B$2:$B$52,MATCH($C404,'hp (pSv cm2)'!$A$2:$A$52,1)))/(INDEX('hp (pSv cm2)'!$A$2:$A$52,MATCH($C404,'hp (pSv cm2)'!$A$2:$A$52,1)+1)-INDEX('hp (pSv cm2)'!$A$2:$A$52,MATCH($C404,'hp (pSv cm2)'!$A$2:$A$52,1))),$C404*'hp (pSv cm2)'!$B$2/'hp (pSv cm2)'!$A$2)</f>
        <v>6.59328</v>
      </c>
      <c r="G404" s="67">
        <f t="shared" si="29"/>
        <v>1.1208575999999999E-4</v>
      </c>
      <c r="H404" s="83">
        <f>_xlfn.IFNA(0.997*(INDEX('Mass attenuation coefficients'!$B$2:$B$37,MATCH($C404,'Mass attenuation coefficients'!$A$2:$A$37,1))+($C404-INDEX('Mass attenuation coefficients'!$A$2:$A$37,MATCH($C404,'Mass attenuation coefficients'!$A$2:$A$37,1)))*(INDEX('Mass attenuation coefficients'!$B$2:$B$37,MATCH($C404,'Mass attenuation coefficients'!$A$2:$A$37,1)+1)-INDEX('Mass attenuation coefficients'!$B$2:$B$37,MATCH($C404,'Mass attenuation coefficients'!$A$2:$A$37,1)))/(INDEX('Mass attenuation coefficients'!$A$2:$A$37,MATCH($C404,'Mass attenuation coefficients'!$A$2:$A$37,1)+1)-INDEX('Mass attenuation coefficients'!$A$2:$A$37,MATCH($C404,'Mass attenuation coefficients'!$A$2:$A$37,1)))),0.997*$C404*'Mass attenuation coefficients'!$B$2/'Mass attenuation coefficients'!$A$2)</f>
        <v>5.4550097280000001E-2</v>
      </c>
      <c r="I404" s="83">
        <f>_xlfn.IFNA(INDEX('Shultis Faw'!$C$2:$C$26,MATCH($C404,'Shultis Faw'!$A$2:$A$26,1))+($C404-INDEX('Shultis Faw'!$A$2:$A$26,MATCH($C404,'Shultis Faw'!$A$2:$A$26,1)))*(INDEX('Shultis Faw'!$C$2:$C$26,MATCH($C404,'Shultis Faw'!$A$2:$A$26,1)+1)-INDEX('Shultis Faw'!$C$2:$C$26,MATCH($C404,'Shultis Faw'!$A$2:$A$26,1)))/(INDEX('Shultis Faw'!$A$2:$A$26,MATCH($C404,'Shultis Faw'!$A$2:$A$26,1)+1)-INDEX('Shultis Faw'!$A$2:$A$26,MATCH($C404,'Shultis Faw'!$A$2:$A$26,1))),$C404*'Shultis Faw'!$C$2/'Shultis Faw'!$A$2)</f>
        <v>1.9042000000000001</v>
      </c>
      <c r="J404" s="83">
        <f>_xlfn.IFNA(INDEX('Shultis Faw'!$D$2:$D$26,MATCH($C404,'Shultis Faw'!$A$2:$A$26,1))+($C404-INDEX('Shultis Faw'!$A$2:$A$26,MATCH($C404,'Shultis Faw'!$A$2:$A$26,1)))*(INDEX('Shultis Faw'!$D$2:$D$26,MATCH($C404,'Shultis Faw'!$A$2:$A$26,1)+1)-INDEX('Shultis Faw'!$D$2:$D$26,MATCH($C404,'Shultis Faw'!$A$2:$A$26,1)))/(INDEX('Shultis Faw'!$A$2:$A$26,MATCH($C404,'Shultis Faw'!$A$2:$A$26,1)+1)-INDEX('Shultis Faw'!$A$2:$A$26,MATCH($C404,'Shultis Faw'!$A$2:$A$26,1))),$C404*'Shultis Faw'!$D$2/'Shultis Faw'!$A$2)</f>
        <v>1.235592</v>
      </c>
      <c r="K404" s="83">
        <f>_xlfn.IFNA(INDEX('Shultis Faw'!$B$2:$B$26,MATCH($C404,'Shultis Faw'!$A$2:$A$26,1))+($C404-INDEX('Shultis Faw'!$A$2:$A$26,MATCH($C404,'Shultis Faw'!$A$2:$A$26,1)))*(INDEX('Shultis Faw'!$B$2:$B$26,MATCH($C404,'Shultis Faw'!$A$2:$A$26,1)+1)-INDEX('Shultis Faw'!$B$2:$B$26,MATCH($C404,'Shultis Faw'!$A$2:$A$26,1)))/(INDEX('Shultis Faw'!$A$2:$A$26,MATCH($C404,'Shultis Faw'!$A$2:$A$26,1)+1)-INDEX('Shultis Faw'!$A$2:$A$26,MATCH($C404,'Shultis Faw'!$A$2:$A$26,1))),$C404*'Shultis Faw'!$B$2/'Shultis Faw'!$A$2)</f>
        <v>-5.1388000000000003E-2</v>
      </c>
      <c r="L404" s="83">
        <f>_xlfn.IFNA(INDEX('Shultis Faw'!$E$2:$E$26,MATCH($C404,'Shultis Faw'!$A$2:$A$26,1))+($C404-INDEX('Shultis Faw'!$A$2:$A$26,MATCH($C404,'Shultis Faw'!$A$2:$A$26,1)))*(INDEX('Shultis Faw'!$E$2:$E$26,MATCH($C404,'Shultis Faw'!$A$2:$A$26,1)+1)-INDEX('Shultis Faw'!$E$2:$E$26,MATCH($C404,'Shultis Faw'!$A$2:$A$26,1)))/(INDEX('Shultis Faw'!$A$2:$A$26,MATCH($C404,'Shultis Faw'!$A$2:$A$26,1)+1)-INDEX('Shultis Faw'!$A$2:$A$26,MATCH($C404,'Shultis Faw'!$A$2:$A$26,1))),$C404*'Shultis Faw'!$E$2/'Shultis Faw'!$A$2)</f>
        <v>2.1642000000000002E-2</v>
      </c>
      <c r="M404" s="83">
        <f>_xlfn.IFNA(INDEX('Shultis Faw'!$F$2:$F$26,MATCH($C404,'Shultis Faw'!$A$2:$A$26,1))+($C404-INDEX('Shultis Faw'!$A$2:$A$26,MATCH($C404,'Shultis Faw'!$A$2:$A$26,1)))*(INDEX('Shultis Faw'!$F$2:$F$26,MATCH($C404,'Shultis Faw'!$A$2:$A$26,1)+1)-INDEX('Shultis Faw'!$F$2:$F$26,MATCH($C404,'Shultis Faw'!$A$2:$A$26,1)))/(INDEX('Shultis Faw'!$A$2:$A$26,MATCH($C404,'Shultis Faw'!$A$2:$A$26,1)+1)-INDEX('Shultis Faw'!$A$2:$A$26,MATCH($C404,'Shultis Faw'!$A$2:$A$26,1))),$C404*'Shultis Faw'!$F$2/'Shultis Faw'!$A$2)</f>
        <v>14.3634</v>
      </c>
      <c r="N404" s="83">
        <f>J404*(H404*'Externe blootstelling'!$D$23/2)^K404+L404*(TANH(((H404*'Externe blootstelling'!$D$23)/(2*M404))-2)-TANH(-2))/(1-TANH(-2))</f>
        <v>1.2484408415226327</v>
      </c>
      <c r="O404" s="83">
        <f>IF(N404=1,1+(I404-1)*H404*'Externe blootstelling'!$D$23/2,1+(I404-1)*(N404^(H404*'Externe blootstelling'!$D$23/2)-1)/(N404-1))</f>
        <v>1.7246022617893109</v>
      </c>
      <c r="P404" s="67">
        <f>G404*EXP(-H404*'Externe blootstelling'!$D$23/2)*O404</f>
        <v>8.528591215353007E-5</v>
      </c>
      <c r="Q404" s="68"/>
    </row>
    <row r="405" spans="1:17" x14ac:dyDescent="0.2">
      <c r="A405" s="217"/>
      <c r="B405" s="64" t="s">
        <v>104</v>
      </c>
      <c r="C405" s="66">
        <v>1.7169000000000001</v>
      </c>
      <c r="D405" s="66">
        <f t="shared" si="28"/>
        <v>2.7470399999999997E-13</v>
      </c>
      <c r="E405" s="66">
        <v>5.9999999999999993E-6</v>
      </c>
      <c r="F405" s="66">
        <f>_xlfn.IFNA(INDEX('hp (pSv cm2)'!$B$2:$B$52,MATCH($C405,'hp (pSv cm2)'!$A$2:$A$52,1))+($C405-INDEX('hp (pSv cm2)'!$A$2:$A$52,MATCH($C405,'hp (pSv cm2)'!$A$2:$A$52,1)))*(INDEX('hp (pSv cm2)'!$B$2:$B$52,MATCH($C405,'hp (pSv cm2)'!$A$2:$A$52,1)+1)-INDEX('hp (pSv cm2)'!$B$2:$B$52,MATCH($C405,'hp (pSv cm2)'!$A$2:$A$52,1)))/(INDEX('hp (pSv cm2)'!$A$2:$A$52,MATCH($C405,'hp (pSv cm2)'!$A$2:$A$52,1)+1)-INDEX('hp (pSv cm2)'!$A$2:$A$52,MATCH($C405,'hp (pSv cm2)'!$A$2:$A$52,1))),$C405*'hp (pSv cm2)'!$B$2/'hp (pSv cm2)'!$A$2)</f>
        <v>6.7099680000000008</v>
      </c>
      <c r="G405" s="67">
        <f t="shared" si="29"/>
        <v>4.0259807999999999E-5</v>
      </c>
      <c r="H405" s="83">
        <f>_xlfn.IFNA(0.997*(INDEX('Mass attenuation coefficients'!$B$2:$B$37,MATCH($C405,'Mass attenuation coefficients'!$A$2:$A$37,1))+($C405-INDEX('Mass attenuation coefficients'!$A$2:$A$37,MATCH($C405,'Mass attenuation coefficients'!$A$2:$A$37,1)))*(INDEX('Mass attenuation coefficients'!$B$2:$B$37,MATCH($C405,'Mass attenuation coefficients'!$A$2:$A$37,1)+1)-INDEX('Mass attenuation coefficients'!$B$2:$B$37,MATCH($C405,'Mass attenuation coefficients'!$A$2:$A$37,1)))/(INDEX('Mass attenuation coefficients'!$A$2:$A$37,MATCH($C405,'Mass attenuation coefficients'!$A$2:$A$37,1)+1)-INDEX('Mass attenuation coefficients'!$A$2:$A$37,MATCH($C405,'Mass attenuation coefficients'!$A$2:$A$37,1)))),0.997*$C405*'Mass attenuation coefficients'!$B$2/'Mass attenuation coefficients'!$A$2)</f>
        <v>5.3855491368000004E-2</v>
      </c>
      <c r="I405" s="83">
        <f>_xlfn.IFNA(INDEX('Shultis Faw'!$C$2:$C$26,MATCH($C405,'Shultis Faw'!$A$2:$A$26,1))+($C405-INDEX('Shultis Faw'!$A$2:$A$26,MATCH($C405,'Shultis Faw'!$A$2:$A$26,1)))*(INDEX('Shultis Faw'!$C$2:$C$26,MATCH($C405,'Shultis Faw'!$A$2:$A$26,1)+1)-INDEX('Shultis Faw'!$C$2:$C$26,MATCH($C405,'Shultis Faw'!$A$2:$A$26,1)))/(INDEX('Shultis Faw'!$A$2:$A$26,MATCH($C405,'Shultis Faw'!$A$2:$A$26,1)+1)-INDEX('Shultis Faw'!$A$2:$A$26,MATCH($C405,'Shultis Faw'!$A$2:$A$26,1))),$C405*'Shultis Faw'!$C$2/'Shultis Faw'!$A$2)</f>
        <v>1.8956200000000001</v>
      </c>
      <c r="J405" s="83">
        <f>_xlfn.IFNA(INDEX('Shultis Faw'!$D$2:$D$26,MATCH($C405,'Shultis Faw'!$A$2:$A$26,1))+($C405-INDEX('Shultis Faw'!$A$2:$A$26,MATCH($C405,'Shultis Faw'!$A$2:$A$26,1)))*(INDEX('Shultis Faw'!$D$2:$D$26,MATCH($C405,'Shultis Faw'!$A$2:$A$26,1)+1)-INDEX('Shultis Faw'!$D$2:$D$26,MATCH($C405,'Shultis Faw'!$A$2:$A$26,1)))/(INDEX('Shultis Faw'!$A$2:$A$26,MATCH($C405,'Shultis Faw'!$A$2:$A$26,1)+1)-INDEX('Shultis Faw'!$A$2:$A$26,MATCH($C405,'Shultis Faw'!$A$2:$A$26,1))),$C405*'Shultis Faw'!$D$2/'Shultis Faw'!$A$2)</f>
        <v>1.2273551999999999</v>
      </c>
      <c r="K405" s="83">
        <f>_xlfn.IFNA(INDEX('Shultis Faw'!$B$2:$B$26,MATCH($C405,'Shultis Faw'!$A$2:$A$26,1))+($C405-INDEX('Shultis Faw'!$A$2:$A$26,MATCH($C405,'Shultis Faw'!$A$2:$A$26,1)))*(INDEX('Shultis Faw'!$B$2:$B$26,MATCH($C405,'Shultis Faw'!$A$2:$A$26,1)+1)-INDEX('Shultis Faw'!$B$2:$B$26,MATCH($C405,'Shultis Faw'!$A$2:$A$26,1)))/(INDEX('Shultis Faw'!$A$2:$A$26,MATCH($C405,'Shultis Faw'!$A$2:$A$26,1)+1)-INDEX('Shultis Faw'!$A$2:$A$26,MATCH($C405,'Shultis Faw'!$A$2:$A$26,1))),$C405*'Shultis Faw'!$B$2/'Shultis Faw'!$A$2)</f>
        <v>-4.9757799999999998E-2</v>
      </c>
      <c r="L405" s="83">
        <f>_xlfn.IFNA(INDEX('Shultis Faw'!$E$2:$E$26,MATCH($C405,'Shultis Faw'!$A$2:$A$26,1))+($C405-INDEX('Shultis Faw'!$A$2:$A$26,MATCH($C405,'Shultis Faw'!$A$2:$A$26,1)))*(INDEX('Shultis Faw'!$E$2:$E$26,MATCH($C405,'Shultis Faw'!$A$2:$A$26,1)+1)-INDEX('Shultis Faw'!$E$2:$E$26,MATCH($C405,'Shultis Faw'!$A$2:$A$26,1)))/(INDEX('Shultis Faw'!$A$2:$A$26,MATCH($C405,'Shultis Faw'!$A$2:$A$26,1)+1)-INDEX('Shultis Faw'!$A$2:$A$26,MATCH($C405,'Shultis Faw'!$A$2:$A$26,1))),$C405*'Shultis Faw'!$E$2/'Shultis Faw'!$A$2)</f>
        <v>2.0912699999999999E-2</v>
      </c>
      <c r="M405" s="83">
        <f>_xlfn.IFNA(INDEX('Shultis Faw'!$F$2:$F$26,MATCH($C405,'Shultis Faw'!$A$2:$A$26,1))+($C405-INDEX('Shultis Faw'!$A$2:$A$26,MATCH($C405,'Shultis Faw'!$A$2:$A$26,1)))*(INDEX('Shultis Faw'!$F$2:$F$26,MATCH($C405,'Shultis Faw'!$A$2:$A$26,1)+1)-INDEX('Shultis Faw'!$F$2:$F$26,MATCH($C405,'Shultis Faw'!$A$2:$A$26,1)))/(INDEX('Shultis Faw'!$A$2:$A$26,MATCH($C405,'Shultis Faw'!$A$2:$A$26,1)+1)-INDEX('Shultis Faw'!$A$2:$A$26,MATCH($C405,'Shultis Faw'!$A$2:$A$26,1))),$C405*'Shultis Faw'!$F$2/'Shultis Faw'!$A$2)</f>
        <v>14.32479</v>
      </c>
      <c r="N405" s="83">
        <f>J405*(H405*'Externe blootstelling'!$D$23/2)^K405+L405*(TANH(((H405*'Externe blootstelling'!$D$23)/(2*M405))-2)-TANH(-2))/(1-TANH(-2))</f>
        <v>1.240501936733752</v>
      </c>
      <c r="O405" s="83">
        <f>IF(N405=1,1+(I405-1)*H405*'Externe blootstelling'!$D$23/2,1+(I405-1)*(N405^(H405*'Externe blootstelling'!$D$23/2)-1)/(N405-1))</f>
        <v>1.7082066980244752</v>
      </c>
      <c r="P405" s="67">
        <f>G405*EXP(-H405*'Externe blootstelling'!$D$23/2)*O405</f>
        <v>3.0660199684882353E-5</v>
      </c>
      <c r="Q405" s="68"/>
    </row>
    <row r="406" spans="1:17" x14ac:dyDescent="0.2">
      <c r="A406" s="217"/>
      <c r="B406" s="64" t="s">
        <v>104</v>
      </c>
      <c r="C406" s="66">
        <v>1.7729999999999999</v>
      </c>
      <c r="D406" s="66">
        <f t="shared" si="28"/>
        <v>2.8368000000000001E-13</v>
      </c>
      <c r="E406" s="66">
        <v>3.4999999999999999E-6</v>
      </c>
      <c r="F406" s="66">
        <f>_xlfn.IFNA(INDEX('hp (pSv cm2)'!$B$2:$B$52,MATCH($C406,'hp (pSv cm2)'!$A$2:$A$52,1))+($C406-INDEX('hp (pSv cm2)'!$A$2:$A$52,MATCH($C406,'hp (pSv cm2)'!$A$2:$A$52,1)))*(INDEX('hp (pSv cm2)'!$B$2:$B$52,MATCH($C406,'hp (pSv cm2)'!$A$2:$A$52,1)+1)-INDEX('hp (pSv cm2)'!$B$2:$B$52,MATCH($C406,'hp (pSv cm2)'!$A$2:$A$52,1)))/(INDEX('hp (pSv cm2)'!$A$2:$A$52,MATCH($C406,'hp (pSv cm2)'!$A$2:$A$52,1)+1)-INDEX('hp (pSv cm2)'!$A$2:$A$52,MATCH($C406,'hp (pSv cm2)'!$A$2:$A$52,1))),$C406*'hp (pSv cm2)'!$B$2/'hp (pSv cm2)'!$A$2)</f>
        <v>6.8625600000000002</v>
      </c>
      <c r="G406" s="67">
        <f t="shared" si="29"/>
        <v>2.4018959999999999E-5</v>
      </c>
      <c r="H406" s="83">
        <f>_xlfn.IFNA(0.997*(INDEX('Mass attenuation coefficients'!$B$2:$B$37,MATCH($C406,'Mass attenuation coefficients'!$A$2:$A$37,1))+($C406-INDEX('Mass attenuation coefficients'!$A$2:$A$37,MATCH($C406,'Mass attenuation coefficients'!$A$2:$A$37,1)))*(INDEX('Mass attenuation coefficients'!$B$2:$B$37,MATCH($C406,'Mass attenuation coefficients'!$A$2:$A$37,1)+1)-INDEX('Mass attenuation coefficients'!$B$2:$B$37,MATCH($C406,'Mass attenuation coefficients'!$A$2:$A$37,1)))/(INDEX('Mass attenuation coefficients'!$A$2:$A$37,MATCH($C406,'Mass attenuation coefficients'!$A$2:$A$37,1)+1)-INDEX('Mass attenuation coefficients'!$A$2:$A$37,MATCH($C406,'Mass attenuation coefficients'!$A$2:$A$37,1)))),0.997*$C406*'Mass attenuation coefficients'!$B$2/'Mass attenuation coefficients'!$A$2)</f>
        <v>5.2947160559999998E-2</v>
      </c>
      <c r="I406" s="83">
        <f>_xlfn.IFNA(INDEX('Shultis Faw'!$C$2:$C$26,MATCH($C406,'Shultis Faw'!$A$2:$A$26,1))+($C406-INDEX('Shultis Faw'!$A$2:$A$26,MATCH($C406,'Shultis Faw'!$A$2:$A$26,1)))*(INDEX('Shultis Faw'!$C$2:$C$26,MATCH($C406,'Shultis Faw'!$A$2:$A$26,1)+1)-INDEX('Shultis Faw'!$C$2:$C$26,MATCH($C406,'Shultis Faw'!$A$2:$A$26,1)))/(INDEX('Shultis Faw'!$A$2:$A$26,MATCH($C406,'Shultis Faw'!$A$2:$A$26,1)+1)-INDEX('Shultis Faw'!$A$2:$A$26,MATCH($C406,'Shultis Faw'!$A$2:$A$26,1))),$C406*'Shultis Faw'!$C$2/'Shultis Faw'!$A$2)</f>
        <v>1.8844000000000001</v>
      </c>
      <c r="J406" s="83">
        <f>_xlfn.IFNA(INDEX('Shultis Faw'!$D$2:$D$26,MATCH($C406,'Shultis Faw'!$A$2:$A$26,1))+($C406-INDEX('Shultis Faw'!$A$2:$A$26,MATCH($C406,'Shultis Faw'!$A$2:$A$26,1)))*(INDEX('Shultis Faw'!$D$2:$D$26,MATCH($C406,'Shultis Faw'!$A$2:$A$26,1)+1)-INDEX('Shultis Faw'!$D$2:$D$26,MATCH($C406,'Shultis Faw'!$A$2:$A$26,1)))/(INDEX('Shultis Faw'!$A$2:$A$26,MATCH($C406,'Shultis Faw'!$A$2:$A$26,1)+1)-INDEX('Shultis Faw'!$A$2:$A$26,MATCH($C406,'Shultis Faw'!$A$2:$A$26,1))),$C406*'Shultis Faw'!$D$2/'Shultis Faw'!$A$2)</f>
        <v>1.2165840000000001</v>
      </c>
      <c r="K406" s="83">
        <f>_xlfn.IFNA(INDEX('Shultis Faw'!$B$2:$B$26,MATCH($C406,'Shultis Faw'!$A$2:$A$26,1))+($C406-INDEX('Shultis Faw'!$A$2:$A$26,MATCH($C406,'Shultis Faw'!$A$2:$A$26,1)))*(INDEX('Shultis Faw'!$B$2:$B$26,MATCH($C406,'Shultis Faw'!$A$2:$A$26,1)+1)-INDEX('Shultis Faw'!$B$2:$B$26,MATCH($C406,'Shultis Faw'!$A$2:$A$26,1)))/(INDEX('Shultis Faw'!$A$2:$A$26,MATCH($C406,'Shultis Faw'!$A$2:$A$26,1)+1)-INDEX('Shultis Faw'!$A$2:$A$26,MATCH($C406,'Shultis Faw'!$A$2:$A$26,1))),$C406*'Shultis Faw'!$B$2/'Shultis Faw'!$A$2)</f>
        <v>-4.7626000000000002E-2</v>
      </c>
      <c r="L406" s="83">
        <f>_xlfn.IFNA(INDEX('Shultis Faw'!$E$2:$E$26,MATCH($C406,'Shultis Faw'!$A$2:$A$26,1))+($C406-INDEX('Shultis Faw'!$A$2:$A$26,MATCH($C406,'Shultis Faw'!$A$2:$A$26,1)))*(INDEX('Shultis Faw'!$E$2:$E$26,MATCH($C406,'Shultis Faw'!$A$2:$A$26,1)+1)-INDEX('Shultis Faw'!$E$2:$E$26,MATCH($C406,'Shultis Faw'!$A$2:$A$26,1)))/(INDEX('Shultis Faw'!$A$2:$A$26,MATCH($C406,'Shultis Faw'!$A$2:$A$26,1)+1)-INDEX('Shultis Faw'!$A$2:$A$26,MATCH($C406,'Shultis Faw'!$A$2:$A$26,1))),$C406*'Shultis Faw'!$E$2/'Shultis Faw'!$A$2)</f>
        <v>1.9959000000000001E-2</v>
      </c>
      <c r="M406" s="83">
        <f>_xlfn.IFNA(INDEX('Shultis Faw'!$F$2:$F$26,MATCH($C406,'Shultis Faw'!$A$2:$A$26,1))+($C406-INDEX('Shultis Faw'!$A$2:$A$26,MATCH($C406,'Shultis Faw'!$A$2:$A$26,1)))*(INDEX('Shultis Faw'!$F$2:$F$26,MATCH($C406,'Shultis Faw'!$A$2:$A$26,1)+1)-INDEX('Shultis Faw'!$F$2:$F$26,MATCH($C406,'Shultis Faw'!$A$2:$A$26,1)))/(INDEX('Shultis Faw'!$A$2:$A$26,MATCH($C406,'Shultis Faw'!$A$2:$A$26,1)+1)-INDEX('Shultis Faw'!$A$2:$A$26,MATCH($C406,'Shultis Faw'!$A$2:$A$26,1))),$C406*'Shultis Faw'!$F$2/'Shultis Faw'!$A$2)</f>
        <v>14.2743</v>
      </c>
      <c r="N406" s="83">
        <f>J406*(H406*'Externe blootstelling'!$D$23/2)^K406+L406*(TANH(((H406*'Externe blootstelling'!$D$23)/(2*M406))-2)-TANH(-2))/(1-TANH(-2))</f>
        <v>1.230049913004182</v>
      </c>
      <c r="O406" s="83">
        <f>IF(N406=1,1+(I406-1)*H406*'Externe blootstelling'!$D$23/2,1+(I406-1)*(N406^(H406*'Externe blootstelling'!$D$23/2)-1)/(N406-1))</f>
        <v>1.6871375311901737</v>
      </c>
      <c r="P406" s="67">
        <f>G406*EXP(-H406*'Externe blootstelling'!$D$23/2)*O406</f>
        <v>1.8314066658272368E-5</v>
      </c>
      <c r="Q406" s="68"/>
    </row>
    <row r="407" spans="1:17" x14ac:dyDescent="0.2">
      <c r="A407" s="217"/>
      <c r="B407" s="64" t="s">
        <v>104</v>
      </c>
      <c r="C407" s="66">
        <v>1.8380000000000001</v>
      </c>
      <c r="D407" s="66">
        <f t="shared" si="28"/>
        <v>2.9407999999999999E-13</v>
      </c>
      <c r="E407" s="66">
        <v>7.9999999999999996E-6</v>
      </c>
      <c r="F407" s="66">
        <f>_xlfn.IFNA(INDEX('hp (pSv cm2)'!$B$2:$B$52,MATCH($C407,'hp (pSv cm2)'!$A$2:$A$52,1))+($C407-INDEX('hp (pSv cm2)'!$A$2:$A$52,MATCH($C407,'hp (pSv cm2)'!$A$2:$A$52,1)))*(INDEX('hp (pSv cm2)'!$B$2:$B$52,MATCH($C407,'hp (pSv cm2)'!$A$2:$A$52,1)+1)-INDEX('hp (pSv cm2)'!$B$2:$B$52,MATCH($C407,'hp (pSv cm2)'!$A$2:$A$52,1)))/(INDEX('hp (pSv cm2)'!$A$2:$A$52,MATCH($C407,'hp (pSv cm2)'!$A$2:$A$52,1)+1)-INDEX('hp (pSv cm2)'!$A$2:$A$52,MATCH($C407,'hp (pSv cm2)'!$A$2:$A$52,1))),$C407*'hp (pSv cm2)'!$B$2/'hp (pSv cm2)'!$A$2)</f>
        <v>7.0393600000000003</v>
      </c>
      <c r="G407" s="67">
        <f t="shared" si="29"/>
        <v>5.6314879999999997E-5</v>
      </c>
      <c r="H407" s="83">
        <f>_xlfn.IFNA(0.997*(INDEX('Mass attenuation coefficients'!$B$2:$B$37,MATCH($C407,'Mass attenuation coefficients'!$A$2:$A$37,1))+($C407-INDEX('Mass attenuation coefficients'!$A$2:$A$37,MATCH($C407,'Mass attenuation coefficients'!$A$2:$A$37,1)))*(INDEX('Mass attenuation coefficients'!$B$2:$B$37,MATCH($C407,'Mass attenuation coefficients'!$A$2:$A$37,1)+1)-INDEX('Mass attenuation coefficients'!$B$2:$B$37,MATCH($C407,'Mass attenuation coefficients'!$A$2:$A$37,1)))/(INDEX('Mass attenuation coefficients'!$A$2:$A$37,MATCH($C407,'Mass attenuation coefficients'!$A$2:$A$37,1)+1)-INDEX('Mass attenuation coefficients'!$A$2:$A$37,MATCH($C407,'Mass attenuation coefficients'!$A$2:$A$37,1)))),0.997*$C407*'Mass attenuation coefficients'!$B$2/'Mass attenuation coefficients'!$A$2)</f>
        <v>5.1894727360000004E-2</v>
      </c>
      <c r="I407" s="83">
        <f>_xlfn.IFNA(INDEX('Shultis Faw'!$C$2:$C$26,MATCH($C407,'Shultis Faw'!$A$2:$A$26,1))+($C407-INDEX('Shultis Faw'!$A$2:$A$26,MATCH($C407,'Shultis Faw'!$A$2:$A$26,1)))*(INDEX('Shultis Faw'!$C$2:$C$26,MATCH($C407,'Shultis Faw'!$A$2:$A$26,1)+1)-INDEX('Shultis Faw'!$C$2:$C$26,MATCH($C407,'Shultis Faw'!$A$2:$A$26,1)))/(INDEX('Shultis Faw'!$A$2:$A$26,MATCH($C407,'Shultis Faw'!$A$2:$A$26,1)+1)-INDEX('Shultis Faw'!$A$2:$A$26,MATCH($C407,'Shultis Faw'!$A$2:$A$26,1))),$C407*'Shultis Faw'!$C$2/'Shultis Faw'!$A$2)</f>
        <v>1.8714</v>
      </c>
      <c r="J407" s="83">
        <f>_xlfn.IFNA(INDEX('Shultis Faw'!$D$2:$D$26,MATCH($C407,'Shultis Faw'!$A$2:$A$26,1))+($C407-INDEX('Shultis Faw'!$A$2:$A$26,MATCH($C407,'Shultis Faw'!$A$2:$A$26,1)))*(INDEX('Shultis Faw'!$D$2:$D$26,MATCH($C407,'Shultis Faw'!$A$2:$A$26,1)+1)-INDEX('Shultis Faw'!$D$2:$D$26,MATCH($C407,'Shultis Faw'!$A$2:$A$26,1)))/(INDEX('Shultis Faw'!$A$2:$A$26,MATCH($C407,'Shultis Faw'!$A$2:$A$26,1)+1)-INDEX('Shultis Faw'!$A$2:$A$26,MATCH($C407,'Shultis Faw'!$A$2:$A$26,1))),$C407*'Shultis Faw'!$D$2/'Shultis Faw'!$A$2)</f>
        <v>1.2041040000000001</v>
      </c>
      <c r="K407" s="83">
        <f>_xlfn.IFNA(INDEX('Shultis Faw'!$B$2:$B$26,MATCH($C407,'Shultis Faw'!$A$2:$A$26,1))+($C407-INDEX('Shultis Faw'!$A$2:$A$26,MATCH($C407,'Shultis Faw'!$A$2:$A$26,1)))*(INDEX('Shultis Faw'!$B$2:$B$26,MATCH($C407,'Shultis Faw'!$A$2:$A$26,1)+1)-INDEX('Shultis Faw'!$B$2:$B$26,MATCH($C407,'Shultis Faw'!$A$2:$A$26,1)))/(INDEX('Shultis Faw'!$A$2:$A$26,MATCH($C407,'Shultis Faw'!$A$2:$A$26,1)+1)-INDEX('Shultis Faw'!$A$2:$A$26,MATCH($C407,'Shultis Faw'!$A$2:$A$26,1))),$C407*'Shultis Faw'!$B$2/'Shultis Faw'!$A$2)</f>
        <v>-4.5156000000000002E-2</v>
      </c>
      <c r="L407" s="83">
        <f>_xlfn.IFNA(INDEX('Shultis Faw'!$E$2:$E$26,MATCH($C407,'Shultis Faw'!$A$2:$A$26,1))+($C407-INDEX('Shultis Faw'!$A$2:$A$26,MATCH($C407,'Shultis Faw'!$A$2:$A$26,1)))*(INDEX('Shultis Faw'!$E$2:$E$26,MATCH($C407,'Shultis Faw'!$A$2:$A$26,1)+1)-INDEX('Shultis Faw'!$E$2:$E$26,MATCH($C407,'Shultis Faw'!$A$2:$A$26,1)))/(INDEX('Shultis Faw'!$A$2:$A$26,MATCH($C407,'Shultis Faw'!$A$2:$A$26,1)+1)-INDEX('Shultis Faw'!$A$2:$A$26,MATCH($C407,'Shultis Faw'!$A$2:$A$26,1))),$C407*'Shultis Faw'!$E$2/'Shultis Faw'!$A$2)</f>
        <v>1.8853999999999999E-2</v>
      </c>
      <c r="M407" s="83">
        <f>_xlfn.IFNA(INDEX('Shultis Faw'!$F$2:$F$26,MATCH($C407,'Shultis Faw'!$A$2:$A$26,1))+($C407-INDEX('Shultis Faw'!$A$2:$A$26,MATCH($C407,'Shultis Faw'!$A$2:$A$26,1)))*(INDEX('Shultis Faw'!$F$2:$F$26,MATCH($C407,'Shultis Faw'!$A$2:$A$26,1)+1)-INDEX('Shultis Faw'!$F$2:$F$26,MATCH($C407,'Shultis Faw'!$A$2:$A$26,1)))/(INDEX('Shultis Faw'!$A$2:$A$26,MATCH($C407,'Shultis Faw'!$A$2:$A$26,1)+1)-INDEX('Shultis Faw'!$A$2:$A$26,MATCH($C407,'Shultis Faw'!$A$2:$A$26,1))),$C407*'Shultis Faw'!$F$2/'Shultis Faw'!$A$2)</f>
        <v>14.2158</v>
      </c>
      <c r="N407" s="83">
        <f>J407*(H407*'Externe blootstelling'!$D$23/2)^K407+L407*(TANH(((H407*'Externe blootstelling'!$D$23)/(2*M407))-2)-TANH(-2))/(1-TANH(-2))</f>
        <v>1.2178401411935553</v>
      </c>
      <c r="O407" s="83">
        <f>IF(N407=1,1+(I407-1)*H407*'Externe blootstelling'!$D$23/2,1+(I407-1)*(N407^(H407*'Externe blootstelling'!$D$23/2)-1)/(N407-1))</f>
        <v>1.6632430757828427</v>
      </c>
      <c r="P407" s="67">
        <f>G407*EXP(-H407*'Externe blootstelling'!$D$23/2)*O407</f>
        <v>4.3004606798033055E-5</v>
      </c>
      <c r="Q407" s="68"/>
    </row>
    <row r="408" spans="1:17" x14ac:dyDescent="0.2">
      <c r="A408" s="217"/>
      <c r="B408" s="64" t="s">
        <v>104</v>
      </c>
      <c r="C408" s="66">
        <v>1.895</v>
      </c>
      <c r="D408" s="66">
        <f t="shared" si="28"/>
        <v>3.0319999999999996E-13</v>
      </c>
      <c r="E408" s="66">
        <v>5.9999999999999993E-6</v>
      </c>
      <c r="F408" s="66">
        <f>_xlfn.IFNA(INDEX('hp (pSv cm2)'!$B$2:$B$52,MATCH($C408,'hp (pSv cm2)'!$A$2:$A$52,1))+($C408-INDEX('hp (pSv cm2)'!$A$2:$A$52,MATCH($C408,'hp (pSv cm2)'!$A$2:$A$52,1)))*(INDEX('hp (pSv cm2)'!$B$2:$B$52,MATCH($C408,'hp (pSv cm2)'!$A$2:$A$52,1)+1)-INDEX('hp (pSv cm2)'!$B$2:$B$52,MATCH($C408,'hp (pSv cm2)'!$A$2:$A$52,1)))/(INDEX('hp (pSv cm2)'!$A$2:$A$52,MATCH($C408,'hp (pSv cm2)'!$A$2:$A$52,1)+1)-INDEX('hp (pSv cm2)'!$A$2:$A$52,MATCH($C408,'hp (pSv cm2)'!$A$2:$A$52,1))),$C408*'hp (pSv cm2)'!$B$2/'hp (pSv cm2)'!$A$2)</f>
        <v>7.1943999999999999</v>
      </c>
      <c r="G408" s="67">
        <f t="shared" si="29"/>
        <v>4.3166399999999994E-5</v>
      </c>
      <c r="H408" s="83">
        <f>_xlfn.IFNA(0.997*(INDEX('Mass attenuation coefficients'!$B$2:$B$37,MATCH($C408,'Mass attenuation coefficients'!$A$2:$A$37,1))+($C408-INDEX('Mass attenuation coefficients'!$A$2:$A$37,MATCH($C408,'Mass attenuation coefficients'!$A$2:$A$37,1)))*(INDEX('Mass attenuation coefficients'!$B$2:$B$37,MATCH($C408,'Mass attenuation coefficients'!$A$2:$A$37,1)+1)-INDEX('Mass attenuation coefficients'!$B$2:$B$37,MATCH($C408,'Mass attenuation coefficients'!$A$2:$A$37,1)))/(INDEX('Mass attenuation coefficients'!$A$2:$A$37,MATCH($C408,'Mass attenuation coefficients'!$A$2:$A$37,1)+1)-INDEX('Mass attenuation coefficients'!$A$2:$A$37,MATCH($C408,'Mass attenuation coefficients'!$A$2:$A$37,1)))),0.997*$C408*'Mass attenuation coefficients'!$B$2/'Mass attenuation coefficients'!$A$2)</f>
        <v>5.0971824399999997E-2</v>
      </c>
      <c r="I408" s="83">
        <f>_xlfn.IFNA(INDEX('Shultis Faw'!$C$2:$C$26,MATCH($C408,'Shultis Faw'!$A$2:$A$26,1))+($C408-INDEX('Shultis Faw'!$A$2:$A$26,MATCH($C408,'Shultis Faw'!$A$2:$A$26,1)))*(INDEX('Shultis Faw'!$C$2:$C$26,MATCH($C408,'Shultis Faw'!$A$2:$A$26,1)+1)-INDEX('Shultis Faw'!$C$2:$C$26,MATCH($C408,'Shultis Faw'!$A$2:$A$26,1)))/(INDEX('Shultis Faw'!$A$2:$A$26,MATCH($C408,'Shultis Faw'!$A$2:$A$26,1)+1)-INDEX('Shultis Faw'!$A$2:$A$26,MATCH($C408,'Shultis Faw'!$A$2:$A$26,1))),$C408*'Shultis Faw'!$C$2/'Shultis Faw'!$A$2)</f>
        <v>1.8599999999999999</v>
      </c>
      <c r="J408" s="83">
        <f>_xlfn.IFNA(INDEX('Shultis Faw'!$D$2:$D$26,MATCH($C408,'Shultis Faw'!$A$2:$A$26,1))+($C408-INDEX('Shultis Faw'!$A$2:$A$26,MATCH($C408,'Shultis Faw'!$A$2:$A$26,1)))*(INDEX('Shultis Faw'!$D$2:$D$26,MATCH($C408,'Shultis Faw'!$A$2:$A$26,1)+1)-INDEX('Shultis Faw'!$D$2:$D$26,MATCH($C408,'Shultis Faw'!$A$2:$A$26,1)))/(INDEX('Shultis Faw'!$A$2:$A$26,MATCH($C408,'Shultis Faw'!$A$2:$A$26,1)+1)-INDEX('Shultis Faw'!$A$2:$A$26,MATCH($C408,'Shultis Faw'!$A$2:$A$26,1))),$C408*'Shultis Faw'!$D$2/'Shultis Faw'!$A$2)</f>
        <v>1.19316</v>
      </c>
      <c r="K408" s="83">
        <f>_xlfn.IFNA(INDEX('Shultis Faw'!$B$2:$B$26,MATCH($C408,'Shultis Faw'!$A$2:$A$26,1))+($C408-INDEX('Shultis Faw'!$A$2:$A$26,MATCH($C408,'Shultis Faw'!$A$2:$A$26,1)))*(INDEX('Shultis Faw'!$B$2:$B$26,MATCH($C408,'Shultis Faw'!$A$2:$A$26,1)+1)-INDEX('Shultis Faw'!$B$2:$B$26,MATCH($C408,'Shultis Faw'!$A$2:$A$26,1)))/(INDEX('Shultis Faw'!$A$2:$A$26,MATCH($C408,'Shultis Faw'!$A$2:$A$26,1)+1)-INDEX('Shultis Faw'!$A$2:$A$26,MATCH($C408,'Shultis Faw'!$A$2:$A$26,1))),$C408*'Shultis Faw'!$B$2/'Shultis Faw'!$A$2)</f>
        <v>-4.299E-2</v>
      </c>
      <c r="L408" s="83">
        <f>_xlfn.IFNA(INDEX('Shultis Faw'!$E$2:$E$26,MATCH($C408,'Shultis Faw'!$A$2:$A$26,1))+($C408-INDEX('Shultis Faw'!$A$2:$A$26,MATCH($C408,'Shultis Faw'!$A$2:$A$26,1)))*(INDEX('Shultis Faw'!$E$2:$E$26,MATCH($C408,'Shultis Faw'!$A$2:$A$26,1)+1)-INDEX('Shultis Faw'!$E$2:$E$26,MATCH($C408,'Shultis Faw'!$A$2:$A$26,1)))/(INDEX('Shultis Faw'!$A$2:$A$26,MATCH($C408,'Shultis Faw'!$A$2:$A$26,1)+1)-INDEX('Shultis Faw'!$A$2:$A$26,MATCH($C408,'Shultis Faw'!$A$2:$A$26,1))),$C408*'Shultis Faw'!$E$2/'Shultis Faw'!$A$2)</f>
        <v>1.7884999999999998E-2</v>
      </c>
      <c r="M408" s="83">
        <f>_xlfn.IFNA(INDEX('Shultis Faw'!$F$2:$F$26,MATCH($C408,'Shultis Faw'!$A$2:$A$26,1))+($C408-INDEX('Shultis Faw'!$A$2:$A$26,MATCH($C408,'Shultis Faw'!$A$2:$A$26,1)))*(INDEX('Shultis Faw'!$F$2:$F$26,MATCH($C408,'Shultis Faw'!$A$2:$A$26,1)+1)-INDEX('Shultis Faw'!$F$2:$F$26,MATCH($C408,'Shultis Faw'!$A$2:$A$26,1)))/(INDEX('Shultis Faw'!$A$2:$A$26,MATCH($C408,'Shultis Faw'!$A$2:$A$26,1)+1)-INDEX('Shultis Faw'!$A$2:$A$26,MATCH($C408,'Shultis Faw'!$A$2:$A$26,1))),$C408*'Shultis Faw'!$F$2/'Shultis Faw'!$A$2)</f>
        <v>14.1645</v>
      </c>
      <c r="N408" s="83">
        <f>J408*(H408*'Externe blootstelling'!$D$23/2)^K408+L408*(TANH(((H408*'Externe blootstelling'!$D$23)/(2*M408))-2)-TANH(-2))/(1-TANH(-2))</f>
        <v>1.2070452895630084</v>
      </c>
      <c r="O408" s="83">
        <f>IF(N408=1,1+(I408-1)*H408*'Externe blootstelling'!$D$23/2,1+(I408-1)*(N408^(H408*'Externe blootstelling'!$D$23/2)-1)/(N408-1))</f>
        <v>1.6427380883038225</v>
      </c>
      <c r="P408" s="67">
        <f>G408*EXP(-H408*'Externe blootstelling'!$D$23/2)*O408</f>
        <v>3.3011284730630071E-5</v>
      </c>
      <c r="Q408" s="68"/>
    </row>
    <row r="409" spans="1:17" x14ac:dyDescent="0.2">
      <c r="A409" s="217"/>
      <c r="B409" s="64"/>
      <c r="C409" s="66"/>
      <c r="D409" s="66"/>
      <c r="E409" s="66"/>
      <c r="F409" s="66"/>
      <c r="G409" s="67"/>
      <c r="H409" s="83"/>
      <c r="I409" s="83"/>
      <c r="J409" s="83"/>
      <c r="K409" s="83"/>
      <c r="L409" s="83"/>
      <c r="M409" s="83"/>
      <c r="N409" s="83"/>
      <c r="O409" s="83"/>
      <c r="P409" s="67"/>
      <c r="Q409" s="67">
        <f>SUM(P241:P408)/SUM(G241:G408)</f>
        <v>0.78528391703715106</v>
      </c>
    </row>
    <row r="410" spans="1:17" s="62" customFormat="1" x14ac:dyDescent="0.2">
      <c r="A410" s="69"/>
      <c r="B410" s="70"/>
      <c r="C410" s="71"/>
      <c r="D410" s="71"/>
      <c r="E410" s="71"/>
      <c r="F410" s="71"/>
      <c r="G410" s="72"/>
      <c r="H410" s="84"/>
      <c r="I410" s="84"/>
      <c r="J410" s="84"/>
      <c r="K410" s="84"/>
      <c r="L410" s="84"/>
      <c r="M410" s="84"/>
      <c r="N410" s="84"/>
      <c r="O410" s="84"/>
      <c r="P410" s="72"/>
      <c r="Q410" s="72"/>
    </row>
    <row r="411" spans="1:17" x14ac:dyDescent="0.2">
      <c r="A411" s="216" t="s">
        <v>146</v>
      </c>
      <c r="B411" s="64" t="s">
        <v>104</v>
      </c>
      <c r="C411" s="66">
        <v>8.4101999999999996E-3</v>
      </c>
      <c r="D411" s="66">
        <f t="shared" ref="D411:D413" si="30">C411*1000000*1.6E-19</f>
        <v>1.3456319999999998E-15</v>
      </c>
      <c r="E411" s="66">
        <v>1.7399999999999998E-3</v>
      </c>
      <c r="F411" s="66">
        <f>_xlfn.IFNA(INDEX('hp (pSv cm2)'!$B$2:$B$52,MATCH($C411,'hp (pSv cm2)'!$A$2:$A$52,1))+($C411-INDEX('hp (pSv cm2)'!$A$2:$A$52,MATCH($C411,'hp (pSv cm2)'!$A$2:$A$52,1)))*(INDEX('hp (pSv cm2)'!$B$2:$B$52,MATCH($C411,'hp (pSv cm2)'!$A$2:$A$52,1)+1)-INDEX('hp (pSv cm2)'!$B$2:$B$52,MATCH($C411,'hp (pSv cm2)'!$A$2:$A$52,1)))/(INDEX('hp (pSv cm2)'!$A$2:$A$52,MATCH($C411,'hp (pSv cm2)'!$A$2:$A$52,1)+1)-INDEX('hp (pSv cm2)'!$A$2:$A$52,MATCH($C411,'hp (pSv cm2)'!$A$2:$A$52,1))),$C411*'hp (pSv cm2)'!$B$2/'hp (pSv cm2)'!$A$2)</f>
        <v>3.98581E-2</v>
      </c>
      <c r="G411" s="67">
        <f>F411*E411</f>
        <v>6.9353093999999989E-5</v>
      </c>
      <c r="H411" s="83">
        <f>_xlfn.IFNA(0.997*(INDEX('Mass attenuation coefficients'!$B$2:$B$37,MATCH($C411,'Mass attenuation coefficients'!$A$2:$A$37,1))+($C411-INDEX('Mass attenuation coefficients'!$A$2:$A$37,MATCH($C411,'Mass attenuation coefficients'!$A$2:$A$37,1)))*(INDEX('Mass attenuation coefficients'!$B$2:$B$37,MATCH($C411,'Mass attenuation coefficients'!$A$2:$A$37,1)+1)-INDEX('Mass attenuation coefficients'!$B$2:$B$37,MATCH($C411,'Mass attenuation coefficients'!$A$2:$A$37,1)))/(INDEX('Mass attenuation coefficients'!$A$2:$A$37,MATCH($C411,'Mass attenuation coefficients'!$A$2:$A$37,1)+1)-INDEX('Mass attenuation coefficients'!$A$2:$A$37,MATCH($C411,'Mass attenuation coefficients'!$A$2:$A$37,1)))),0.997*$C411*'Mass attenuation coefficients'!$B$2/'Mass attenuation coefficients'!$A$2)</f>
        <v>9.308082627300001</v>
      </c>
      <c r="I411" s="83">
        <f>_xlfn.IFNA(INDEX('Shultis Faw'!$C$2:$C$26,MATCH($C411,'Shultis Faw'!$A$2:$A$26,1))+($C411-INDEX('Shultis Faw'!$A$2:$A$26,MATCH($C411,'Shultis Faw'!$A$2:$A$26,1)))*(INDEX('Shultis Faw'!$C$2:$C$26,MATCH($C411,'Shultis Faw'!$A$2:$A$26,1)+1)-INDEX('Shultis Faw'!$C$2:$C$26,MATCH($C411,'Shultis Faw'!$A$2:$A$26,1)))/(INDEX('Shultis Faw'!$A$2:$A$26,MATCH($C411,'Shultis Faw'!$A$2:$A$26,1)+1)-INDEX('Shultis Faw'!$A$2:$A$26,MATCH($C411,'Shultis Faw'!$A$2:$A$26,1))),$C411*'Shultis Faw'!$C$2/'Shultis Faw'!$A$2)</f>
        <v>0.66272376</v>
      </c>
      <c r="J411" s="83">
        <f>_xlfn.IFNA(INDEX('Shultis Faw'!$D$2:$D$26,MATCH($C411,'Shultis Faw'!$A$2:$A$26,1))+($C411-INDEX('Shultis Faw'!$A$2:$A$26,MATCH($C411,'Shultis Faw'!$A$2:$A$26,1)))*(INDEX('Shultis Faw'!$D$2:$D$26,MATCH($C411,'Shultis Faw'!$A$2:$A$26,1)+1)-INDEX('Shultis Faw'!$D$2:$D$26,MATCH($C411,'Shultis Faw'!$A$2:$A$26,1)))/(INDEX('Shultis Faw'!$A$2:$A$26,MATCH($C411,'Shultis Faw'!$A$2:$A$26,1)+1)-INDEX('Shultis Faw'!$A$2:$A$26,MATCH($C411,'Shultis Faw'!$A$2:$A$26,1))),$C411*'Shultis Faw'!$D$2/'Shultis Faw'!$A$2)</f>
        <v>0.25959483999999999</v>
      </c>
      <c r="K411" s="83">
        <f>_xlfn.IFNA(INDEX('Shultis Faw'!$B$2:$B$26,MATCH($C411,'Shultis Faw'!$A$2:$A$26,1))+($C411-INDEX('Shultis Faw'!$A$2:$A$26,MATCH($C411,'Shultis Faw'!$A$2:$A$26,1)))*(INDEX('Shultis Faw'!$B$2:$B$26,MATCH($C411,'Shultis Faw'!$A$2:$A$26,1)+1)-INDEX('Shultis Faw'!$B$2:$B$26,MATCH($C411,'Shultis Faw'!$A$2:$A$26,1)))/(INDEX('Shultis Faw'!$A$2:$A$26,MATCH($C411,'Shultis Faw'!$A$2:$A$26,1)+1)-INDEX('Shultis Faw'!$A$2:$A$26,MATCH($C411,'Shultis Faw'!$A$2:$A$26,1))),$C411*'Shultis Faw'!$B$2/'Shultis Faw'!$A$2)</f>
        <v>9.6436959999999988E-2</v>
      </c>
      <c r="L411" s="83">
        <f>_xlfn.IFNA(INDEX('Shultis Faw'!$E$2:$E$26,MATCH($C411,'Shultis Faw'!$A$2:$A$26,1))+($C411-INDEX('Shultis Faw'!$A$2:$A$26,MATCH($C411,'Shultis Faw'!$A$2:$A$26,1)))*(INDEX('Shultis Faw'!$E$2:$E$26,MATCH($C411,'Shultis Faw'!$A$2:$A$26,1)+1)-INDEX('Shultis Faw'!$E$2:$E$26,MATCH($C411,'Shultis Faw'!$A$2:$A$26,1)))/(INDEX('Shultis Faw'!$A$2:$A$26,MATCH($C411,'Shultis Faw'!$A$2:$A$26,1)+1)-INDEX('Shultis Faw'!$A$2:$A$26,MATCH($C411,'Shultis Faw'!$A$2:$A$26,1))),$C411*'Shultis Faw'!$E$2/'Shultis Faw'!$A$2)</f>
        <v>-5.0909744E-2</v>
      </c>
      <c r="M411" s="83">
        <f>_xlfn.IFNA(INDEX('Shultis Faw'!$F$2:$F$26,MATCH($C411,'Shultis Faw'!$A$2:$A$26,1))+($C411-INDEX('Shultis Faw'!$A$2:$A$26,MATCH($C411,'Shultis Faw'!$A$2:$A$26,1)))*(INDEX('Shultis Faw'!$F$2:$F$26,MATCH($C411,'Shultis Faw'!$A$2:$A$26,1)+1)-INDEX('Shultis Faw'!$F$2:$F$26,MATCH($C411,'Shultis Faw'!$A$2:$A$26,1)))/(INDEX('Shultis Faw'!$A$2:$A$26,MATCH($C411,'Shultis Faw'!$A$2:$A$26,1)+1)-INDEX('Shultis Faw'!$A$2:$A$26,MATCH($C411,'Shultis Faw'!$A$2:$A$26,1))),$C411*'Shultis Faw'!$F$2/'Shultis Faw'!$A$2)</f>
        <v>7.9784763999999999</v>
      </c>
      <c r="N411" s="83">
        <f>J411*(H411*'Externe blootstelling'!$D$23/2)^K411+L411*(TANH(((H411*'Externe blootstelling'!$D$23)/(2*M411))-2)-TANH(-2))/(1-TANH(-2))</f>
        <v>0.3670636681738666</v>
      </c>
      <c r="O411" s="83">
        <f>IF(N411=1,1+(I411-1)*H411*'Externe blootstelling'!$D$23/2,1+(I411-1)*(N411^(H411*'Externe blootstelling'!$D$23/2)-1)/(N411-1))</f>
        <v>0.4671245383767143</v>
      </c>
      <c r="P411" s="67">
        <f>G411*EXP(-H411*'Externe blootstelling'!$D$23/2)*O411</f>
        <v>7.4776423674418591E-66</v>
      </c>
      <c r="Q411" s="68"/>
    </row>
    <row r="412" spans="1:17" x14ac:dyDescent="0.2">
      <c r="A412" s="217"/>
      <c r="B412" s="64" t="s">
        <v>104</v>
      </c>
      <c r="C412" s="66">
        <v>0.10977930000000001</v>
      </c>
      <c r="D412" s="66">
        <f t="shared" si="30"/>
        <v>1.7564688000000001E-14</v>
      </c>
      <c r="E412" s="66">
        <v>4.4999999999999996E-5</v>
      </c>
      <c r="F412" s="66">
        <f>_xlfn.IFNA(INDEX('hp (pSv cm2)'!$B$2:$B$52,MATCH($C412,'hp (pSv cm2)'!$A$2:$A$52,1))+($C412-INDEX('hp (pSv cm2)'!$A$2:$A$52,MATCH($C412,'hp (pSv cm2)'!$A$2:$A$52,1)))*(INDEX('hp (pSv cm2)'!$B$2:$B$52,MATCH($C412,'hp (pSv cm2)'!$A$2:$A$52,1)+1)-INDEX('hp (pSv cm2)'!$B$2:$B$52,MATCH($C412,'hp (pSv cm2)'!$A$2:$A$52,1)))/(INDEX('hp (pSv cm2)'!$A$2:$A$52,MATCH($C412,'hp (pSv cm2)'!$A$2:$A$52,1)+1)-INDEX('hp (pSv cm2)'!$A$2:$A$52,MATCH($C412,'hp (pSv cm2)'!$A$2:$A$52,1))),$C412*'hp (pSv cm2)'!$B$2/'hp (pSv cm2)'!$A$2)</f>
        <v>0.56278919400000005</v>
      </c>
      <c r="G412" s="67">
        <f>F412*E412</f>
        <v>2.532551373E-5</v>
      </c>
      <c r="H412" s="83">
        <f>_xlfn.IFNA(0.997*(INDEX('Mass attenuation coefficients'!$B$2:$B$37,MATCH($C412,'Mass attenuation coefficients'!$A$2:$A$37,1))+($C412-INDEX('Mass attenuation coefficients'!$A$2:$A$37,MATCH($C412,'Mass attenuation coefficients'!$A$2:$A$37,1)))*(INDEX('Mass attenuation coefficients'!$B$2:$B$37,MATCH($C412,'Mass attenuation coefficients'!$A$2:$A$37,1)+1)-INDEX('Mass attenuation coefficients'!$B$2:$B$37,MATCH($C412,'Mass attenuation coefficients'!$A$2:$A$37,1)))/(INDEX('Mass attenuation coefficients'!$A$2:$A$37,MATCH($C412,'Mass attenuation coefficients'!$A$2:$A$37,1)+1)-INDEX('Mass attenuation coefficients'!$A$2:$A$37,MATCH($C412,'Mass attenuation coefficients'!$A$2:$A$37,1)))),0.997*$C412*'Mass attenuation coefficients'!$B$2/'Mass attenuation coefficients'!$A$2)</f>
        <v>0.16624891531159999</v>
      </c>
      <c r="I412" s="83">
        <f>_xlfn.IFNA(INDEX('Shultis Faw'!$C$2:$C$26,MATCH($C412,'Shultis Faw'!$A$2:$A$26,1))+($C412-INDEX('Shultis Faw'!$A$2:$A$26,MATCH($C412,'Shultis Faw'!$A$2:$A$26,1)))*(INDEX('Shultis Faw'!$C$2:$C$26,MATCH($C412,'Shultis Faw'!$A$2:$A$26,1)+1)-INDEX('Shultis Faw'!$C$2:$C$26,MATCH($C412,'Shultis Faw'!$A$2:$A$26,1)))/(INDEX('Shultis Faw'!$A$2:$A$26,MATCH($C412,'Shultis Faw'!$A$2:$A$26,1)+1)-INDEX('Shultis Faw'!$A$2:$A$26,MATCH($C412,'Shultis Faw'!$A$2:$A$26,1))),$C412*'Shultis Faw'!$C$2/'Shultis Faw'!$A$2)</f>
        <v>4.5131811239999999</v>
      </c>
      <c r="J412" s="83">
        <f>_xlfn.IFNA(INDEX('Shultis Faw'!$D$2:$D$26,MATCH($C412,'Shultis Faw'!$A$2:$A$26,1))+($C412-INDEX('Shultis Faw'!$A$2:$A$26,MATCH($C412,'Shultis Faw'!$A$2:$A$26,1)))*(INDEX('Shultis Faw'!$D$2:$D$26,MATCH($C412,'Shultis Faw'!$A$2:$A$26,1)+1)-INDEX('Shultis Faw'!$D$2:$D$26,MATCH($C412,'Shultis Faw'!$A$2:$A$26,1)))/(INDEX('Shultis Faw'!$A$2:$A$26,MATCH($C412,'Shultis Faw'!$A$2:$A$26,1)+1)-INDEX('Shultis Faw'!$A$2:$A$26,MATCH($C412,'Shultis Faw'!$A$2:$A$26,1))),$C412*'Shultis Faw'!$D$2/'Shultis Faw'!$A$2)</f>
        <v>2.225107306</v>
      </c>
      <c r="K412" s="83">
        <f>_xlfn.IFNA(INDEX('Shultis Faw'!$B$2:$B$26,MATCH($C412,'Shultis Faw'!$A$2:$A$26,1))+($C412-INDEX('Shultis Faw'!$A$2:$A$26,MATCH($C412,'Shultis Faw'!$A$2:$A$26,1)))*(INDEX('Shultis Faw'!$B$2:$B$26,MATCH($C412,'Shultis Faw'!$A$2:$A$26,1)+1)-INDEX('Shultis Faw'!$B$2:$B$26,MATCH($C412,'Shultis Faw'!$A$2:$A$26,1)))/(INDEX('Shultis Faw'!$A$2:$A$26,MATCH($C412,'Shultis Faw'!$A$2:$A$26,1)+1)-INDEX('Shultis Faw'!$A$2:$A$26,MATCH($C412,'Shultis Faw'!$A$2:$A$26,1))),$C412*'Shultis Faw'!$B$2/'Shultis Faw'!$A$2)</f>
        <v>-0.185804414</v>
      </c>
      <c r="L412" s="83">
        <f>_xlfn.IFNA(INDEX('Shultis Faw'!$E$2:$E$26,MATCH($C412,'Shultis Faw'!$A$2:$A$26,1))+($C412-INDEX('Shultis Faw'!$A$2:$A$26,MATCH($C412,'Shultis Faw'!$A$2:$A$26,1)))*(INDEX('Shultis Faw'!$E$2:$E$26,MATCH($C412,'Shultis Faw'!$A$2:$A$26,1)+1)-INDEX('Shultis Faw'!$E$2:$E$26,MATCH($C412,'Shultis Faw'!$A$2:$A$26,1)))/(INDEX('Shultis Faw'!$A$2:$A$26,MATCH($C412,'Shultis Faw'!$A$2:$A$26,1)+1)-INDEX('Shultis Faw'!$A$2:$A$26,MATCH($C412,'Shultis Faw'!$A$2:$A$26,1))),$C412*'Shultis Faw'!$E$2/'Shultis Faw'!$A$2)</f>
        <v>8.1641628600000002E-2</v>
      </c>
      <c r="M412" s="83">
        <f>_xlfn.IFNA(INDEX('Shultis Faw'!$F$2:$F$26,MATCH($C412,'Shultis Faw'!$A$2:$A$26,1))+($C412-INDEX('Shultis Faw'!$A$2:$A$26,MATCH($C412,'Shultis Faw'!$A$2:$A$26,1)))*(INDEX('Shultis Faw'!$F$2:$F$26,MATCH($C412,'Shultis Faw'!$A$2:$A$26,1)+1)-INDEX('Shultis Faw'!$F$2:$F$26,MATCH($C412,'Shultis Faw'!$A$2:$A$26,1)))/(INDEX('Shultis Faw'!$A$2:$A$26,MATCH($C412,'Shultis Faw'!$A$2:$A$26,1)+1)-INDEX('Shultis Faw'!$A$2:$A$26,MATCH($C412,'Shultis Faw'!$A$2:$A$26,1))),$C412*'Shultis Faw'!$F$2/'Shultis Faw'!$A$2)</f>
        <v>13.49820396</v>
      </c>
      <c r="N412" s="83">
        <f>J412*(H412*'Externe blootstelling'!$D$23/2)^K412+L412*(TANH(((H412*'Externe blootstelling'!$D$23)/(2*M412))-2)-TANH(-2))/(1-TANH(-2))</f>
        <v>1.87830037648436</v>
      </c>
      <c r="O412" s="83">
        <f>IF(N412=1,1+(I412-1)*H412*'Externe blootstelling'!$D$23/2,1+(I412-1)*(N412^(H412*'Externe blootstelling'!$D$23/2)-1)/(N412-1))</f>
        <v>16.264383844120751</v>
      </c>
      <c r="P412" s="67">
        <f>G412*EXP(-H412*'Externe blootstelling'!$D$23/2)*O412</f>
        <v>3.402366400389015E-5</v>
      </c>
      <c r="Q412" s="68"/>
    </row>
    <row r="413" spans="1:17" x14ac:dyDescent="0.2">
      <c r="A413" s="217"/>
      <c r="B413" s="64" t="s">
        <v>104</v>
      </c>
      <c r="C413" s="66">
        <v>0.11818949999999999</v>
      </c>
      <c r="D413" s="66">
        <f t="shared" si="30"/>
        <v>1.8910319999999998E-14</v>
      </c>
      <c r="E413" s="66">
        <v>5.0000000000000004E-6</v>
      </c>
      <c r="F413" s="66">
        <f>_xlfn.IFNA(INDEX('hp (pSv cm2)'!$B$2:$B$52,MATCH($C413,'hp (pSv cm2)'!$A$2:$A$52,1))+($C413-INDEX('hp (pSv cm2)'!$A$2:$A$52,MATCH($C413,'hp (pSv cm2)'!$A$2:$A$52,1)))*(INDEX('hp (pSv cm2)'!$B$2:$B$52,MATCH($C413,'hp (pSv cm2)'!$A$2:$A$52,1)+1)-INDEX('hp (pSv cm2)'!$B$2:$B$52,MATCH($C413,'hp (pSv cm2)'!$A$2:$A$52,1)))/(INDEX('hp (pSv cm2)'!$A$2:$A$52,MATCH($C413,'hp (pSv cm2)'!$A$2:$A$52,1)+1)-INDEX('hp (pSv cm2)'!$A$2:$A$52,MATCH($C413,'hp (pSv cm2)'!$A$2:$A$52,1))),$C413*'hp (pSv cm2)'!$B$2/'hp (pSv cm2)'!$A$2)</f>
        <v>0.60130790999999995</v>
      </c>
      <c r="G413" s="67">
        <f>F413*E413</f>
        <v>3.00653955E-6</v>
      </c>
      <c r="H413" s="83">
        <f>_xlfn.IFNA(0.997*(INDEX('Mass attenuation coefficients'!$B$2:$B$37,MATCH($C413,'Mass attenuation coefficients'!$A$2:$A$37,1))+($C413-INDEX('Mass attenuation coefficients'!$A$2:$A$37,MATCH($C413,'Mass attenuation coefficients'!$A$2:$A$37,1)))*(INDEX('Mass attenuation coefficients'!$B$2:$B$37,MATCH($C413,'Mass attenuation coefficients'!$A$2:$A$37,1)+1)-INDEX('Mass attenuation coefficients'!$B$2:$B$37,MATCH($C413,'Mass attenuation coefficients'!$A$2:$A$37,1)))/(INDEX('Mass attenuation coefficients'!$A$2:$A$37,MATCH($C413,'Mass attenuation coefficients'!$A$2:$A$37,1)+1)-INDEX('Mass attenuation coefficients'!$A$2:$A$37,MATCH($C413,'Mass attenuation coefficients'!$A$2:$A$37,1)))),0.997*$C413*'Mass attenuation coefficients'!$B$2/'Mass attenuation coefficients'!$A$2)</f>
        <v>0.16286138767399999</v>
      </c>
      <c r="I413" s="83">
        <f>_xlfn.IFNA(INDEX('Shultis Faw'!$C$2:$C$26,MATCH($C413,'Shultis Faw'!$A$2:$A$26,1))+($C413-INDEX('Shultis Faw'!$A$2:$A$26,MATCH($C413,'Shultis Faw'!$A$2:$A$26,1)))*(INDEX('Shultis Faw'!$C$2:$C$26,MATCH($C413,'Shultis Faw'!$A$2:$A$26,1)+1)-INDEX('Shultis Faw'!$C$2:$C$26,MATCH($C413,'Shultis Faw'!$A$2:$A$26,1)))/(INDEX('Shultis Faw'!$A$2:$A$26,MATCH($C413,'Shultis Faw'!$A$2:$A$26,1)+1)-INDEX('Shultis Faw'!$A$2:$A$26,MATCH($C413,'Shultis Faw'!$A$2:$A$26,1))),$C413*'Shultis Faw'!$C$2/'Shultis Faw'!$A$2)</f>
        <v>4.3843368600000003</v>
      </c>
      <c r="J413" s="83">
        <f>_xlfn.IFNA(INDEX('Shultis Faw'!$D$2:$D$26,MATCH($C413,'Shultis Faw'!$A$2:$A$26,1))+($C413-INDEX('Shultis Faw'!$A$2:$A$26,MATCH($C413,'Shultis Faw'!$A$2:$A$26,1)))*(INDEX('Shultis Faw'!$D$2:$D$26,MATCH($C413,'Shultis Faw'!$A$2:$A$26,1)+1)-INDEX('Shultis Faw'!$D$2:$D$26,MATCH($C413,'Shultis Faw'!$A$2:$A$26,1)))/(INDEX('Shultis Faw'!$A$2:$A$26,MATCH($C413,'Shultis Faw'!$A$2:$A$26,1)+1)-INDEX('Shultis Faw'!$A$2:$A$26,MATCH($C413,'Shultis Faw'!$A$2:$A$26,1))),$C413*'Shultis Faw'!$D$2/'Shultis Faw'!$A$2)</f>
        <v>2.2286395900000002</v>
      </c>
      <c r="K413" s="83">
        <f>_xlfn.IFNA(INDEX('Shultis Faw'!$B$2:$B$26,MATCH($C413,'Shultis Faw'!$A$2:$A$26,1))+($C413-INDEX('Shultis Faw'!$A$2:$A$26,MATCH($C413,'Shultis Faw'!$A$2:$A$26,1)))*(INDEX('Shultis Faw'!$B$2:$B$26,MATCH($C413,'Shultis Faw'!$A$2:$A$26,1)+1)-INDEX('Shultis Faw'!$B$2:$B$26,MATCH($C413,'Shultis Faw'!$A$2:$A$26,1)))/(INDEX('Shultis Faw'!$A$2:$A$26,MATCH($C413,'Shultis Faw'!$A$2:$A$26,1)+1)-INDEX('Shultis Faw'!$A$2:$A$26,MATCH($C413,'Shultis Faw'!$A$2:$A$26,1))),$C413*'Shultis Faw'!$B$2/'Shultis Faw'!$A$2)</f>
        <v>-0.18563621</v>
      </c>
      <c r="L413" s="83">
        <f>_xlfn.IFNA(INDEX('Shultis Faw'!$E$2:$E$26,MATCH($C413,'Shultis Faw'!$A$2:$A$26,1))+($C413-INDEX('Shultis Faw'!$A$2:$A$26,MATCH($C413,'Shultis Faw'!$A$2:$A$26,1)))*(INDEX('Shultis Faw'!$E$2:$E$26,MATCH($C413,'Shultis Faw'!$A$2:$A$26,1)+1)-INDEX('Shultis Faw'!$E$2:$E$26,MATCH($C413,'Shultis Faw'!$A$2:$A$26,1)))/(INDEX('Shultis Faw'!$A$2:$A$26,MATCH($C413,'Shultis Faw'!$A$2:$A$26,1)+1)-INDEX('Shultis Faw'!$A$2:$A$26,MATCH($C413,'Shultis Faw'!$A$2:$A$26,1))),$C413*'Shultis Faw'!$E$2/'Shultis Faw'!$A$2)</f>
        <v>8.081742900000001E-2</v>
      </c>
      <c r="M413" s="83">
        <f>_xlfn.IFNA(INDEX('Shultis Faw'!$F$2:$F$26,MATCH($C413,'Shultis Faw'!$A$2:$A$26,1))+($C413-INDEX('Shultis Faw'!$A$2:$A$26,MATCH($C413,'Shultis Faw'!$A$2:$A$26,1)))*(INDEX('Shultis Faw'!$F$2:$F$26,MATCH($C413,'Shultis Faw'!$A$2:$A$26,1)+1)-INDEX('Shultis Faw'!$F$2:$F$26,MATCH($C413,'Shultis Faw'!$A$2:$A$26,1)))/(INDEX('Shultis Faw'!$A$2:$A$26,MATCH($C413,'Shultis Faw'!$A$2:$A$26,1)+1)-INDEX('Shultis Faw'!$A$2:$A$26,MATCH($C413,'Shultis Faw'!$A$2:$A$26,1))),$C413*'Shultis Faw'!$F$2/'Shultis Faw'!$A$2)</f>
        <v>13.642859399999999</v>
      </c>
      <c r="N413" s="83">
        <f>J413*(H413*'Externe blootstelling'!$D$23/2)^K413+L413*(TANH(((H413*'Externe blootstelling'!$D$23)/(2*M413))-2)-TANH(-2))/(1-TANH(-2))</f>
        <v>1.8887421267381999</v>
      </c>
      <c r="O413" s="83">
        <f>IF(N413=1,1+(I413-1)*H413*'Externe blootstelling'!$D$23/2,1+(I413-1)*(N413^(H413*'Externe blootstelling'!$D$23/2)-1)/(N413-1))</f>
        <v>15.195858405112913</v>
      </c>
      <c r="P413" s="67">
        <f>G413*EXP(-H413*'Externe blootstelling'!$D$23/2)*O413</f>
        <v>3.9704993534272434E-6</v>
      </c>
      <c r="Q413" s="68"/>
    </row>
    <row r="414" spans="1:17" x14ac:dyDescent="0.2">
      <c r="A414" s="218"/>
      <c r="B414" s="64"/>
      <c r="C414" s="66"/>
      <c r="D414" s="66"/>
      <c r="E414" s="66"/>
      <c r="F414" s="66"/>
      <c r="G414" s="67"/>
      <c r="H414" s="83"/>
      <c r="I414" s="83"/>
      <c r="J414" s="83"/>
      <c r="K414" s="83"/>
      <c r="L414" s="83"/>
      <c r="M414" s="83"/>
      <c r="N414" s="83"/>
      <c r="O414" s="83"/>
      <c r="P414" s="67"/>
      <c r="Q414" s="67">
        <f>SUM(P411:P413)/SUM(G411:G413)</f>
        <v>0.38894514074297049</v>
      </c>
    </row>
    <row r="415" spans="1:17" s="62" customFormat="1" x14ac:dyDescent="0.2">
      <c r="A415" s="69"/>
      <c r="B415" s="70"/>
      <c r="C415" s="71"/>
      <c r="D415" s="71"/>
      <c r="E415" s="71"/>
      <c r="F415" s="71"/>
      <c r="G415" s="72"/>
      <c r="H415" s="84"/>
      <c r="I415" s="84"/>
      <c r="J415" s="84"/>
      <c r="K415" s="84"/>
      <c r="L415" s="84"/>
      <c r="M415" s="84"/>
      <c r="N415" s="84"/>
      <c r="O415" s="84"/>
      <c r="P415" s="72"/>
      <c r="Q415" s="72"/>
    </row>
    <row r="416" spans="1:17" x14ac:dyDescent="0.2">
      <c r="A416" s="216" t="s">
        <v>147</v>
      </c>
      <c r="B416" s="64" t="s">
        <v>102</v>
      </c>
      <c r="C416" s="66">
        <v>8.9250000000000006E-3</v>
      </c>
      <c r="D416" s="66">
        <f t="shared" ref="D416:D426" si="31">C416*1000000*1.6E-19</f>
        <v>1.4279999999999999E-15</v>
      </c>
      <c r="E416" s="66">
        <v>3.1800000000000002E-2</v>
      </c>
      <c r="F416" s="66">
        <f>_xlfn.IFNA(INDEX('hp (pSv cm2)'!$B$2:$B$52,MATCH($C416,'hp (pSv cm2)'!$A$2:$A$52,1))+($C416-INDEX('hp (pSv cm2)'!$A$2:$A$52,MATCH($C416,'hp (pSv cm2)'!$A$2:$A$52,1)))*(INDEX('hp (pSv cm2)'!$B$2:$B$52,MATCH($C416,'hp (pSv cm2)'!$A$2:$A$52,1)+1)-INDEX('hp (pSv cm2)'!$B$2:$B$52,MATCH($C416,'hp (pSv cm2)'!$A$2:$A$52,1)))/(INDEX('hp (pSv cm2)'!$A$2:$A$52,MATCH($C416,'hp (pSv cm2)'!$A$2:$A$52,1)+1)-INDEX('hp (pSv cm2)'!$A$2:$A$52,MATCH($C416,'hp (pSv cm2)'!$A$2:$A$52,1))),$C416*'hp (pSv cm2)'!$B$2/'hp (pSv cm2)'!$A$2)</f>
        <v>4.7837500000000019E-2</v>
      </c>
      <c r="G416" s="67">
        <f t="shared" ref="G416:G426" si="32">F416*E416</f>
        <v>1.5212325000000008E-3</v>
      </c>
      <c r="H416" s="83">
        <f>_xlfn.IFNA(0.997*(INDEX('Mass attenuation coefficients'!$B$2:$B$37,MATCH($C416,'Mass attenuation coefficients'!$A$2:$A$37,1))+($C416-INDEX('Mass attenuation coefficients'!$A$2:$A$37,MATCH($C416,'Mass attenuation coefficients'!$A$2:$A$37,1)))*(INDEX('Mass attenuation coefficients'!$B$2:$B$37,MATCH($C416,'Mass attenuation coefficients'!$A$2:$A$37,1)+1)-INDEX('Mass attenuation coefficients'!$B$2:$B$37,MATCH($C416,'Mass attenuation coefficients'!$A$2:$A$37,1)))/(INDEX('Mass attenuation coefficients'!$A$2:$A$37,MATCH($C416,'Mass attenuation coefficients'!$A$2:$A$37,1)+1)-INDEX('Mass attenuation coefficients'!$A$2:$A$37,MATCH($C416,'Mass attenuation coefficients'!$A$2:$A$37,1)))),0.997*$C416*'Mass attenuation coefficients'!$B$2/'Mass attenuation coefficients'!$A$2)</f>
        <v>8.0144218874999993</v>
      </c>
      <c r="I416" s="83">
        <f>_xlfn.IFNA(INDEX('Shultis Faw'!$C$2:$C$26,MATCH($C416,'Shultis Faw'!$A$2:$A$26,1))+($C416-INDEX('Shultis Faw'!$A$2:$A$26,MATCH($C416,'Shultis Faw'!$A$2:$A$26,1)))*(INDEX('Shultis Faw'!$C$2:$C$26,MATCH($C416,'Shultis Faw'!$A$2:$A$26,1)+1)-INDEX('Shultis Faw'!$C$2:$C$26,MATCH($C416,'Shultis Faw'!$A$2:$A$26,1)))/(INDEX('Shultis Faw'!$A$2:$A$26,MATCH($C416,'Shultis Faw'!$A$2:$A$26,1)+1)-INDEX('Shultis Faw'!$A$2:$A$26,MATCH($C416,'Shultis Faw'!$A$2:$A$26,1))),$C416*'Shultis Faw'!$C$2/'Shultis Faw'!$A$2)</f>
        <v>0.70329000000000008</v>
      </c>
      <c r="J416" s="83">
        <f>_xlfn.IFNA(INDEX('Shultis Faw'!$D$2:$D$26,MATCH($C416,'Shultis Faw'!$A$2:$A$26,1))+($C416-INDEX('Shultis Faw'!$A$2:$A$26,MATCH($C416,'Shultis Faw'!$A$2:$A$26,1)))*(INDEX('Shultis Faw'!$D$2:$D$26,MATCH($C416,'Shultis Faw'!$A$2:$A$26,1)+1)-INDEX('Shultis Faw'!$D$2:$D$26,MATCH($C416,'Shultis Faw'!$A$2:$A$26,1)))/(INDEX('Shultis Faw'!$A$2:$A$26,MATCH($C416,'Shultis Faw'!$A$2:$A$26,1)+1)-INDEX('Shultis Faw'!$A$2:$A$26,MATCH($C416,'Shultis Faw'!$A$2:$A$26,1))),$C416*'Shultis Faw'!$D$2/'Shultis Faw'!$A$2)</f>
        <v>0.27548500000000004</v>
      </c>
      <c r="K416" s="83">
        <f>_xlfn.IFNA(INDEX('Shultis Faw'!$B$2:$B$26,MATCH($C416,'Shultis Faw'!$A$2:$A$26,1))+($C416-INDEX('Shultis Faw'!$A$2:$A$26,MATCH($C416,'Shultis Faw'!$A$2:$A$26,1)))*(INDEX('Shultis Faw'!$B$2:$B$26,MATCH($C416,'Shultis Faw'!$A$2:$A$26,1)+1)-INDEX('Shultis Faw'!$B$2:$B$26,MATCH($C416,'Shultis Faw'!$A$2:$A$26,1)))/(INDEX('Shultis Faw'!$A$2:$A$26,MATCH($C416,'Shultis Faw'!$A$2:$A$26,1)+1)-INDEX('Shultis Faw'!$A$2:$A$26,MATCH($C416,'Shultis Faw'!$A$2:$A$26,1))),$C416*'Shultis Faw'!$B$2/'Shultis Faw'!$A$2)</f>
        <v>0.10234</v>
      </c>
      <c r="L416" s="83">
        <f>_xlfn.IFNA(INDEX('Shultis Faw'!$E$2:$E$26,MATCH($C416,'Shultis Faw'!$A$2:$A$26,1))+($C416-INDEX('Shultis Faw'!$A$2:$A$26,MATCH($C416,'Shultis Faw'!$A$2:$A$26,1)))*(INDEX('Shultis Faw'!$E$2:$E$26,MATCH($C416,'Shultis Faw'!$A$2:$A$26,1)+1)-INDEX('Shultis Faw'!$E$2:$E$26,MATCH($C416,'Shultis Faw'!$A$2:$A$26,1)))/(INDEX('Shultis Faw'!$A$2:$A$26,MATCH($C416,'Shultis Faw'!$A$2:$A$26,1)+1)-INDEX('Shultis Faw'!$A$2:$A$26,MATCH($C416,'Shultis Faw'!$A$2:$A$26,1))),$C416*'Shultis Faw'!$E$2/'Shultis Faw'!$A$2)</f>
        <v>-5.4026000000000012E-2</v>
      </c>
      <c r="M416" s="83">
        <f>_xlfn.IFNA(INDEX('Shultis Faw'!$F$2:$F$26,MATCH($C416,'Shultis Faw'!$A$2:$A$26,1))+($C416-INDEX('Shultis Faw'!$A$2:$A$26,MATCH($C416,'Shultis Faw'!$A$2:$A$26,1)))*(INDEX('Shultis Faw'!$F$2:$F$26,MATCH($C416,'Shultis Faw'!$A$2:$A$26,1)+1)-INDEX('Shultis Faw'!$F$2:$F$26,MATCH($C416,'Shultis Faw'!$A$2:$A$26,1)))/(INDEX('Shultis Faw'!$A$2:$A$26,MATCH($C416,'Shultis Faw'!$A$2:$A$26,1)+1)-INDEX('Shultis Faw'!$A$2:$A$26,MATCH($C416,'Shultis Faw'!$A$2:$A$26,1))),$C416*'Shultis Faw'!$F$2/'Shultis Faw'!$A$2)</f>
        <v>8.4668500000000027</v>
      </c>
      <c r="N416" s="83">
        <f>J416*(H416*'Externe blootstelling'!$D$23/2)^K416+L416*(TANH(((H416*'Externe blootstelling'!$D$23)/(2*M416))-2)-TANH(-2))/(1-TANH(-2))</f>
        <v>0.39571389813422331</v>
      </c>
      <c r="O416" s="83">
        <f>IF(N416=1,1+(I416-1)*H416*'Externe blootstelling'!$D$23/2,1+(I416-1)*(N416^(H416*'Externe blootstelling'!$D$23/2)-1)/(N416-1))</f>
        <v>0.50899085866134186</v>
      </c>
      <c r="P416" s="67">
        <f>G416*EXP(-H416*'Externe blootstelling'!$D$23/2)*O416</f>
        <v>4.7820879260232638E-56</v>
      </c>
      <c r="Q416" s="68"/>
    </row>
    <row r="417" spans="1:17" x14ac:dyDescent="0.2">
      <c r="A417" s="217"/>
      <c r="B417" s="64" t="s">
        <v>102</v>
      </c>
      <c r="C417" s="66">
        <v>5.4612000000000001E-2</v>
      </c>
      <c r="D417" s="66">
        <f t="shared" si="31"/>
        <v>8.7379199999999998E-15</v>
      </c>
      <c r="E417" s="66">
        <v>1.5900000000000001E-2</v>
      </c>
      <c r="F417" s="66">
        <f>_xlfn.IFNA(INDEX('hp (pSv cm2)'!$B$2:$B$52,MATCH($C417,'hp (pSv cm2)'!$A$2:$A$52,1))+($C417-INDEX('hp (pSv cm2)'!$A$2:$A$52,MATCH($C417,'hp (pSv cm2)'!$A$2:$A$52,1)))*(INDEX('hp (pSv cm2)'!$B$2:$B$52,MATCH($C417,'hp (pSv cm2)'!$A$2:$A$52,1)+1)-INDEX('hp (pSv cm2)'!$B$2:$B$52,MATCH($C417,'hp (pSv cm2)'!$A$2:$A$52,1)))/(INDEX('hp (pSv cm2)'!$A$2:$A$52,MATCH($C417,'hp (pSv cm2)'!$A$2:$A$52,1)+1)-INDEX('hp (pSv cm2)'!$A$2:$A$52,MATCH($C417,'hp (pSv cm2)'!$A$2:$A$52,1))),$C417*'hp (pSv cm2)'!$B$2/'hp (pSv cm2)'!$A$2)</f>
        <v>0.378224</v>
      </c>
      <c r="G417" s="67">
        <f t="shared" si="32"/>
        <v>6.0137616000000005E-3</v>
      </c>
      <c r="H417" s="83">
        <f>_xlfn.IFNA(0.997*(INDEX('Mass attenuation coefficients'!$B$2:$B$37,MATCH($C417,'Mass attenuation coefficients'!$A$2:$A$37,1))+($C417-INDEX('Mass attenuation coefficients'!$A$2:$A$37,MATCH($C417,'Mass attenuation coefficients'!$A$2:$A$37,1)))*(INDEX('Mass attenuation coefficients'!$B$2:$B$37,MATCH($C417,'Mass attenuation coefficients'!$A$2:$A$37,1)+1)-INDEX('Mass attenuation coefficients'!$B$2:$B$37,MATCH($C417,'Mass attenuation coefficients'!$A$2:$A$37,1)))/(INDEX('Mass attenuation coefficients'!$A$2:$A$37,MATCH($C417,'Mass attenuation coefficients'!$A$2:$A$37,1)+1)-INDEX('Mass attenuation coefficients'!$A$2:$A$37,MATCH($C417,'Mass attenuation coefficients'!$A$2:$A$37,1)))),0.997*$C417*'Mass attenuation coefficients'!$B$2/'Mass attenuation coefficients'!$A$2)</f>
        <v>0.21656315559999997</v>
      </c>
      <c r="I417" s="83">
        <f>_xlfn.IFNA(INDEX('Shultis Faw'!$C$2:$C$26,MATCH($C417,'Shultis Faw'!$A$2:$A$26,1))+($C417-INDEX('Shultis Faw'!$A$2:$A$26,MATCH($C417,'Shultis Faw'!$A$2:$A$26,1)))*(INDEX('Shultis Faw'!$C$2:$C$26,MATCH($C417,'Shultis Faw'!$A$2:$A$26,1)+1)-INDEX('Shultis Faw'!$C$2:$C$26,MATCH($C417,'Shultis Faw'!$A$2:$A$26,1)))/(INDEX('Shultis Faw'!$A$2:$A$26,MATCH($C417,'Shultis Faw'!$A$2:$A$26,1)+1)-INDEX('Shultis Faw'!$A$2:$A$26,MATCH($C417,'Shultis Faw'!$A$2:$A$26,1))),$C417*'Shultis Faw'!$C$2/'Shultis Faw'!$A$2)</f>
        <v>4.7017464000000002</v>
      </c>
      <c r="J417" s="83">
        <f>_xlfn.IFNA(INDEX('Shultis Faw'!$D$2:$D$26,MATCH($C417,'Shultis Faw'!$A$2:$A$26,1))+($C417-INDEX('Shultis Faw'!$A$2:$A$26,MATCH($C417,'Shultis Faw'!$A$2:$A$26,1)))*(INDEX('Shultis Faw'!$D$2:$D$26,MATCH($C417,'Shultis Faw'!$A$2:$A$26,1)+1)-INDEX('Shultis Faw'!$D$2:$D$26,MATCH($C417,'Shultis Faw'!$A$2:$A$26,1)))/(INDEX('Shultis Faw'!$A$2:$A$26,MATCH($C417,'Shultis Faw'!$A$2:$A$26,1)+1)-INDEX('Shultis Faw'!$A$2:$A$26,MATCH($C417,'Shultis Faw'!$A$2:$A$26,1))),$C417*'Shultis Faw'!$D$2/'Shultis Faw'!$A$2)</f>
        <v>1.5829076</v>
      </c>
      <c r="K417" s="83">
        <f>_xlfn.IFNA(INDEX('Shultis Faw'!$B$2:$B$26,MATCH($C417,'Shultis Faw'!$A$2:$A$26,1))+($C417-INDEX('Shultis Faw'!$A$2:$A$26,MATCH($C417,'Shultis Faw'!$A$2:$A$26,1)))*(INDEX('Shultis Faw'!$B$2:$B$26,MATCH($C417,'Shultis Faw'!$A$2:$A$26,1)+1)-INDEX('Shultis Faw'!$B$2:$B$26,MATCH($C417,'Shultis Faw'!$A$2:$A$26,1)))/(INDEX('Shultis Faw'!$A$2:$A$26,MATCH($C417,'Shultis Faw'!$A$2:$A$26,1)+1)-INDEX('Shultis Faw'!$A$2:$A$26,MATCH($C417,'Shultis Faw'!$A$2:$A$26,1))),$C417*'Shultis Faw'!$B$2/'Shultis Faw'!$A$2)</f>
        <v>-0.1033704</v>
      </c>
      <c r="L417" s="83">
        <f>_xlfn.IFNA(INDEX('Shultis Faw'!$E$2:$E$26,MATCH($C417,'Shultis Faw'!$A$2:$A$26,1))+($C417-INDEX('Shultis Faw'!$A$2:$A$26,MATCH($C417,'Shultis Faw'!$A$2:$A$26,1)))*(INDEX('Shultis Faw'!$E$2:$E$26,MATCH($C417,'Shultis Faw'!$A$2:$A$26,1)+1)-INDEX('Shultis Faw'!$E$2:$E$26,MATCH($C417,'Shultis Faw'!$A$2:$A$26,1)))/(INDEX('Shultis Faw'!$A$2:$A$26,MATCH($C417,'Shultis Faw'!$A$2:$A$26,1)+1)-INDEX('Shultis Faw'!$A$2:$A$26,MATCH($C417,'Shultis Faw'!$A$2:$A$26,1))),$C417*'Shultis Faw'!$E$2/'Shultis Faw'!$A$2)</f>
        <v>4.4246399999999998E-2</v>
      </c>
      <c r="M417" s="83">
        <f>_xlfn.IFNA(INDEX('Shultis Faw'!$F$2:$F$26,MATCH($C417,'Shultis Faw'!$A$2:$A$26,1))+($C417-INDEX('Shultis Faw'!$A$2:$A$26,MATCH($C417,'Shultis Faw'!$A$2:$A$26,1)))*(INDEX('Shultis Faw'!$F$2:$F$26,MATCH($C417,'Shultis Faw'!$A$2:$A$26,1)+1)-INDEX('Shultis Faw'!$F$2:$F$26,MATCH($C417,'Shultis Faw'!$A$2:$A$26,1)))/(INDEX('Shultis Faw'!$A$2:$A$26,MATCH($C417,'Shultis Faw'!$A$2:$A$26,1)+1)-INDEX('Shultis Faw'!$A$2:$A$26,MATCH($C417,'Shultis Faw'!$A$2:$A$26,1))),$C417*'Shultis Faw'!$F$2/'Shultis Faw'!$A$2)</f>
        <v>13.629224000000001</v>
      </c>
      <c r="N417" s="83">
        <f>J417*(H417*'Externe blootstelling'!$D$23/2)^K417+L417*(TANH(((H417*'Externe blootstelling'!$D$23)/(2*M417))-2)-TANH(-2))/(1-TANH(-2))</f>
        <v>1.4018850007581269</v>
      </c>
      <c r="O417" s="83">
        <f>IF(N417=1,1+(I417-1)*H417*'Externe blootstelling'!$D$23/2,1+(I417-1)*(N417^(H417*'Externe blootstelling'!$D$23/2)-1)/(N417-1))</f>
        <v>19.387976340517991</v>
      </c>
      <c r="P417" s="67">
        <f>G417*EXP(-H417*'Externe blootstelling'!$D$23/2)*O417</f>
        <v>4.5278907212459377E-3</v>
      </c>
      <c r="Q417" s="68"/>
    </row>
    <row r="418" spans="1:17" x14ac:dyDescent="0.2">
      <c r="A418" s="217"/>
      <c r="B418" s="64" t="s">
        <v>102</v>
      </c>
      <c r="C418" s="66">
        <v>5.5790899999999997E-2</v>
      </c>
      <c r="D418" s="66">
        <f t="shared" si="31"/>
        <v>8.9265439999999986E-15</v>
      </c>
      <c r="E418" s="66">
        <v>2.7799999999999998E-2</v>
      </c>
      <c r="F418" s="66">
        <f>_xlfn.IFNA(INDEX('hp (pSv cm2)'!$B$2:$B$52,MATCH($C418,'hp (pSv cm2)'!$A$2:$A$52,1))+($C418-INDEX('hp (pSv cm2)'!$A$2:$A$52,MATCH($C418,'hp (pSv cm2)'!$A$2:$A$52,1)))*(INDEX('hp (pSv cm2)'!$B$2:$B$52,MATCH($C418,'hp (pSv cm2)'!$A$2:$A$52,1)+1)-INDEX('hp (pSv cm2)'!$B$2:$B$52,MATCH($C418,'hp (pSv cm2)'!$A$2:$A$52,1)))/(INDEX('hp (pSv cm2)'!$A$2:$A$52,MATCH($C418,'hp (pSv cm2)'!$A$2:$A$52,1)+1)-INDEX('hp (pSv cm2)'!$A$2:$A$52,MATCH($C418,'hp (pSv cm2)'!$A$2:$A$52,1))),$C418*'hp (pSv cm2)'!$B$2/'hp (pSv cm2)'!$A$2)</f>
        <v>0.38058180000000003</v>
      </c>
      <c r="G418" s="67">
        <f t="shared" si="32"/>
        <v>1.0580174039999999E-2</v>
      </c>
      <c r="H418" s="83">
        <f>_xlfn.IFNA(0.997*(INDEX('Mass attenuation coefficients'!$B$2:$B$37,MATCH($C418,'Mass attenuation coefficients'!$A$2:$A$37,1))+($C418-INDEX('Mass attenuation coefficients'!$A$2:$A$37,MATCH($C418,'Mass attenuation coefficients'!$A$2:$A$37,1)))*(INDEX('Mass attenuation coefficients'!$B$2:$B$37,MATCH($C418,'Mass attenuation coefficients'!$A$2:$A$37,1)+1)-INDEX('Mass attenuation coefficients'!$B$2:$B$37,MATCH($C418,'Mass attenuation coefficients'!$A$2:$A$37,1)))/(INDEX('Mass attenuation coefficients'!$A$2:$A$37,MATCH($C418,'Mass attenuation coefficients'!$A$2:$A$37,1)+1)-INDEX('Mass attenuation coefficients'!$A$2:$A$37,MATCH($C418,'Mass attenuation coefficients'!$A$2:$A$37,1)))),0.997*$C418*'Mass attenuation coefficients'!$B$2/'Mass attenuation coefficients'!$A$2)</f>
        <v>0.21409489267000001</v>
      </c>
      <c r="I418" s="83">
        <f>_xlfn.IFNA(INDEX('Shultis Faw'!$C$2:$C$26,MATCH($C418,'Shultis Faw'!$A$2:$A$26,1))+($C418-INDEX('Shultis Faw'!$A$2:$A$26,MATCH($C418,'Shultis Faw'!$A$2:$A$26,1)))*(INDEX('Shultis Faw'!$C$2:$C$26,MATCH($C418,'Shultis Faw'!$A$2:$A$26,1)+1)-INDEX('Shultis Faw'!$C$2:$C$26,MATCH($C418,'Shultis Faw'!$A$2:$A$26,1)))/(INDEX('Shultis Faw'!$A$2:$A$26,MATCH($C418,'Shultis Faw'!$A$2:$A$26,1)+1)-INDEX('Shultis Faw'!$A$2:$A$26,MATCH($C418,'Shultis Faw'!$A$2:$A$26,1))),$C418*'Shultis Faw'!$C$2/'Shultis Faw'!$A$2)</f>
        <v>4.7632849799999999</v>
      </c>
      <c r="J418" s="83">
        <f>_xlfn.IFNA(INDEX('Shultis Faw'!$D$2:$D$26,MATCH($C418,'Shultis Faw'!$A$2:$A$26,1))+($C418-INDEX('Shultis Faw'!$A$2:$A$26,MATCH($C418,'Shultis Faw'!$A$2:$A$26,1)))*(INDEX('Shultis Faw'!$D$2:$D$26,MATCH($C418,'Shultis Faw'!$A$2:$A$26,1)+1)-INDEX('Shultis Faw'!$D$2:$D$26,MATCH($C418,'Shultis Faw'!$A$2:$A$26,1)))/(INDEX('Shultis Faw'!$A$2:$A$26,MATCH($C418,'Shultis Faw'!$A$2:$A$26,1)+1)-INDEX('Shultis Faw'!$A$2:$A$26,MATCH($C418,'Shultis Faw'!$A$2:$A$26,1))),$C418*'Shultis Faw'!$D$2/'Shultis Faw'!$A$2)</f>
        <v>1.6150915699999999</v>
      </c>
      <c r="K418" s="83">
        <f>_xlfn.IFNA(INDEX('Shultis Faw'!$B$2:$B$26,MATCH($C418,'Shultis Faw'!$A$2:$A$26,1))+($C418-INDEX('Shultis Faw'!$A$2:$A$26,MATCH($C418,'Shultis Faw'!$A$2:$A$26,1)))*(INDEX('Shultis Faw'!$B$2:$B$26,MATCH($C418,'Shultis Faw'!$A$2:$A$26,1)+1)-INDEX('Shultis Faw'!$B$2:$B$26,MATCH($C418,'Shultis Faw'!$A$2:$A$26,1)))/(INDEX('Shultis Faw'!$A$2:$A$26,MATCH($C418,'Shultis Faw'!$A$2:$A$26,1)+1)-INDEX('Shultis Faw'!$A$2:$A$26,MATCH($C418,'Shultis Faw'!$A$2:$A$26,1))),$C418*'Shultis Faw'!$B$2/'Shultis Faw'!$A$2)</f>
        <v>-0.10832177999999999</v>
      </c>
      <c r="L418" s="83">
        <f>_xlfn.IFNA(INDEX('Shultis Faw'!$E$2:$E$26,MATCH($C418,'Shultis Faw'!$A$2:$A$26,1))+($C418-INDEX('Shultis Faw'!$A$2:$A$26,MATCH($C418,'Shultis Faw'!$A$2:$A$26,1)))*(INDEX('Shultis Faw'!$E$2:$E$26,MATCH($C418,'Shultis Faw'!$A$2:$A$26,1)+1)-INDEX('Shultis Faw'!$E$2:$E$26,MATCH($C418,'Shultis Faw'!$A$2:$A$26,1)))/(INDEX('Shultis Faw'!$A$2:$A$26,MATCH($C418,'Shultis Faw'!$A$2:$A$26,1)+1)-INDEX('Shultis Faw'!$A$2:$A$26,MATCH($C418,'Shultis Faw'!$A$2:$A$26,1))),$C418*'Shultis Faw'!$E$2/'Shultis Faw'!$A$2)</f>
        <v>4.6839979999999989E-2</v>
      </c>
      <c r="M418" s="83">
        <f>_xlfn.IFNA(INDEX('Shultis Faw'!$F$2:$F$26,MATCH($C418,'Shultis Faw'!$A$2:$A$26,1))+($C418-INDEX('Shultis Faw'!$A$2:$A$26,MATCH($C418,'Shultis Faw'!$A$2:$A$26,1)))*(INDEX('Shultis Faw'!$F$2:$F$26,MATCH($C418,'Shultis Faw'!$A$2:$A$26,1)+1)-INDEX('Shultis Faw'!$F$2:$F$26,MATCH($C418,'Shultis Faw'!$A$2:$A$26,1)))/(INDEX('Shultis Faw'!$A$2:$A$26,MATCH($C418,'Shultis Faw'!$A$2:$A$26,1)+1)-INDEX('Shultis Faw'!$A$2:$A$26,MATCH($C418,'Shultis Faw'!$A$2:$A$26,1))),$C418*'Shultis Faw'!$F$2/'Shultis Faw'!$A$2)</f>
        <v>13.631581799999999</v>
      </c>
      <c r="N418" s="83">
        <f>J418*(H418*'Externe blootstelling'!$D$23/2)^K418+L418*(TANH(((H418*'Externe blootstelling'!$D$23)/(2*M418))-2)-TANH(-2))/(1-TANH(-2))</f>
        <v>1.4238485593284724</v>
      </c>
      <c r="O418" s="83">
        <f>IF(N418=1,1+(I418-1)*H418*'Externe blootstelling'!$D$23/2,1+(I418-1)*(N418^(H418*'Externe blootstelling'!$D$23/2)-1)/(N418-1))</f>
        <v>19.739246138610003</v>
      </c>
      <c r="P418" s="67">
        <f>G418*EXP(-H418*'Externe blootstelling'!$D$23/2)*O418</f>
        <v>8.4162749880150219E-3</v>
      </c>
      <c r="Q418" s="68"/>
    </row>
    <row r="419" spans="1:17" x14ac:dyDescent="0.2">
      <c r="A419" s="217"/>
      <c r="B419" s="64" t="s">
        <v>102</v>
      </c>
      <c r="C419" s="66">
        <v>6.3233999999999999E-2</v>
      </c>
      <c r="D419" s="66">
        <f t="shared" si="31"/>
        <v>1.0117439999999999E-14</v>
      </c>
      <c r="E419" s="66">
        <v>9.1700000000000011E-3</v>
      </c>
      <c r="F419" s="66">
        <f>_xlfn.IFNA(INDEX('hp (pSv cm2)'!$B$2:$B$52,MATCH($C419,'hp (pSv cm2)'!$A$2:$A$52,1))+($C419-INDEX('hp (pSv cm2)'!$A$2:$A$52,MATCH($C419,'hp (pSv cm2)'!$A$2:$A$52,1)))*(INDEX('hp (pSv cm2)'!$B$2:$B$52,MATCH($C419,'hp (pSv cm2)'!$A$2:$A$52,1)+1)-INDEX('hp (pSv cm2)'!$B$2:$B$52,MATCH($C419,'hp (pSv cm2)'!$A$2:$A$52,1)))/(INDEX('hp (pSv cm2)'!$A$2:$A$52,MATCH($C419,'hp (pSv cm2)'!$A$2:$A$52,1)+1)-INDEX('hp (pSv cm2)'!$A$2:$A$52,MATCH($C419,'hp (pSv cm2)'!$A$2:$A$52,1))),$C419*'hp (pSv cm2)'!$B$2/'hp (pSv cm2)'!$A$2)</f>
        <v>0.39611479999999999</v>
      </c>
      <c r="G419" s="67">
        <f t="shared" si="32"/>
        <v>3.6323727160000002E-3</v>
      </c>
      <c r="H419" s="83">
        <f>_xlfn.IFNA(0.997*(INDEX('Mass attenuation coefficients'!$B$2:$B$37,MATCH($C419,'Mass attenuation coefficients'!$A$2:$A$37,1))+($C419-INDEX('Mass attenuation coefficients'!$A$2:$A$37,MATCH($C419,'Mass attenuation coefficients'!$A$2:$A$37,1)))*(INDEX('Mass attenuation coefficients'!$B$2:$B$37,MATCH($C419,'Mass attenuation coefficients'!$A$2:$A$37,1)+1)-INDEX('Mass attenuation coefficients'!$B$2:$B$37,MATCH($C419,'Mass attenuation coefficients'!$A$2:$A$37,1)))/(INDEX('Mass attenuation coefficients'!$A$2:$A$37,MATCH($C419,'Mass attenuation coefficients'!$A$2:$A$37,1)+1)-INDEX('Mass attenuation coefficients'!$A$2:$A$37,MATCH($C419,'Mass attenuation coefficients'!$A$2:$A$37,1)))),0.997*$C419*'Mass attenuation coefficients'!$B$2/'Mass attenuation coefficients'!$A$2)</f>
        <v>0.20170332922</v>
      </c>
      <c r="I419" s="83">
        <f>_xlfn.IFNA(INDEX('Shultis Faw'!$C$2:$C$26,MATCH($C419,'Shultis Faw'!$A$2:$A$26,1))+($C419-INDEX('Shultis Faw'!$A$2:$A$26,MATCH($C419,'Shultis Faw'!$A$2:$A$26,1)))*(INDEX('Shultis Faw'!$C$2:$C$26,MATCH($C419,'Shultis Faw'!$A$2:$A$26,1)+1)-INDEX('Shultis Faw'!$C$2:$C$26,MATCH($C419,'Shultis Faw'!$A$2:$A$26,1)))/(INDEX('Shultis Faw'!$A$2:$A$26,MATCH($C419,'Shultis Faw'!$A$2:$A$26,1)+1)-INDEX('Shultis Faw'!$A$2:$A$26,MATCH($C419,'Shultis Faw'!$A$2:$A$26,1))),$C419*'Shultis Faw'!$C$2/'Shultis Faw'!$A$2)</f>
        <v>4.9952891999999993</v>
      </c>
      <c r="J419" s="83">
        <f>_xlfn.IFNA(INDEX('Shultis Faw'!$D$2:$D$26,MATCH($C419,'Shultis Faw'!$A$2:$A$26,1))+($C419-INDEX('Shultis Faw'!$A$2:$A$26,MATCH($C419,'Shultis Faw'!$A$2:$A$26,1)))*(INDEX('Shultis Faw'!$D$2:$D$26,MATCH($C419,'Shultis Faw'!$A$2:$A$26,1)+1)-INDEX('Shultis Faw'!$D$2:$D$26,MATCH($C419,'Shultis Faw'!$A$2:$A$26,1)))/(INDEX('Shultis Faw'!$A$2:$A$26,MATCH($C419,'Shultis Faw'!$A$2:$A$26,1)+1)-INDEX('Shultis Faw'!$A$2:$A$26,MATCH($C419,'Shultis Faw'!$A$2:$A$26,1))),$C419*'Shultis Faw'!$D$2/'Shultis Faw'!$A$2)</f>
        <v>1.7831992999999999</v>
      </c>
      <c r="K419" s="83">
        <f>_xlfn.IFNA(INDEX('Shultis Faw'!$B$2:$B$26,MATCH($C419,'Shultis Faw'!$A$2:$A$26,1))+($C419-INDEX('Shultis Faw'!$A$2:$A$26,MATCH($C419,'Shultis Faw'!$A$2:$A$26,1)))*(INDEX('Shultis Faw'!$B$2:$B$26,MATCH($C419,'Shultis Faw'!$A$2:$A$26,1)+1)-INDEX('Shultis Faw'!$B$2:$B$26,MATCH($C419,'Shultis Faw'!$A$2:$A$26,1)))/(INDEX('Shultis Faw'!$A$2:$A$26,MATCH($C419,'Shultis Faw'!$A$2:$A$26,1)+1)-INDEX('Shultis Faw'!$A$2:$A$26,MATCH($C419,'Shultis Faw'!$A$2:$A$26,1))),$C419*'Shultis Faw'!$B$2/'Shultis Faw'!$A$2)</f>
        <v>-0.1327914</v>
      </c>
      <c r="L419" s="83">
        <f>_xlfn.IFNA(INDEX('Shultis Faw'!$E$2:$E$26,MATCH($C419,'Shultis Faw'!$A$2:$A$26,1))+($C419-INDEX('Shultis Faw'!$A$2:$A$26,MATCH($C419,'Shultis Faw'!$A$2:$A$26,1)))*(INDEX('Shultis Faw'!$E$2:$E$26,MATCH($C419,'Shultis Faw'!$A$2:$A$26,1)+1)-INDEX('Shultis Faw'!$E$2:$E$26,MATCH($C419,'Shultis Faw'!$A$2:$A$26,1)))/(INDEX('Shultis Faw'!$A$2:$A$26,MATCH($C419,'Shultis Faw'!$A$2:$A$26,1)+1)-INDEX('Shultis Faw'!$A$2:$A$26,MATCH($C419,'Shultis Faw'!$A$2:$A$26,1))),$C419*'Shultis Faw'!$E$2/'Shultis Faw'!$A$2)</f>
        <v>5.9479529999999996E-2</v>
      </c>
      <c r="M419" s="83">
        <f>_xlfn.IFNA(INDEX('Shultis Faw'!$F$2:$F$26,MATCH($C419,'Shultis Faw'!$A$2:$A$26,1))+($C419-INDEX('Shultis Faw'!$A$2:$A$26,MATCH($C419,'Shultis Faw'!$A$2:$A$26,1)))*(INDEX('Shultis Faw'!$F$2:$F$26,MATCH($C419,'Shultis Faw'!$A$2:$A$26,1)+1)-INDEX('Shultis Faw'!$F$2:$F$26,MATCH($C419,'Shultis Faw'!$A$2:$A$26,1)))/(INDEX('Shultis Faw'!$A$2:$A$26,MATCH($C419,'Shultis Faw'!$A$2:$A$26,1)+1)-INDEX('Shultis Faw'!$A$2:$A$26,MATCH($C419,'Shultis Faw'!$A$2:$A$26,1))),$C419*'Shultis Faw'!$F$2/'Shultis Faw'!$A$2)</f>
        <v>13.644851000000001</v>
      </c>
      <c r="N419" s="83">
        <f>J419*(H419*'Externe blootstelling'!$D$23/2)^K419+L419*(TANH(((H419*'Externe blootstelling'!$D$23)/(2*M419))-2)-TANH(-2))/(1-TANH(-2))</f>
        <v>1.5399972429359503</v>
      </c>
      <c r="O419" s="83">
        <f>IF(N419=1,1+(I419-1)*H419*'Externe blootstelling'!$D$23/2,1+(I419-1)*(N419^(H419*'Externe blootstelling'!$D$23/2)-1)/(N419-1))</f>
        <v>20.922973075051914</v>
      </c>
      <c r="P419" s="67">
        <f>G419*EXP(-H419*'Externe blootstelling'!$D$23/2)*O419</f>
        <v>3.6883672583387372E-3</v>
      </c>
      <c r="Q419" s="68"/>
    </row>
    <row r="420" spans="1:17" x14ac:dyDescent="0.2">
      <c r="A420" s="217"/>
      <c r="B420" s="64" t="s">
        <v>102</v>
      </c>
      <c r="C420" s="66">
        <v>6.5131999999999995E-2</v>
      </c>
      <c r="D420" s="66">
        <f t="shared" si="31"/>
        <v>1.0421119999999998E-14</v>
      </c>
      <c r="E420" s="66">
        <v>2.4499999999999999E-3</v>
      </c>
      <c r="F420" s="66">
        <f>_xlfn.IFNA(INDEX('hp (pSv cm2)'!$B$2:$B$52,MATCH($C420,'hp (pSv cm2)'!$A$2:$A$52,1))+($C420-INDEX('hp (pSv cm2)'!$A$2:$A$52,MATCH($C420,'hp (pSv cm2)'!$A$2:$A$52,1)))*(INDEX('hp (pSv cm2)'!$B$2:$B$52,MATCH($C420,'hp (pSv cm2)'!$A$2:$A$52,1)+1)-INDEX('hp (pSv cm2)'!$B$2:$B$52,MATCH($C420,'hp (pSv cm2)'!$A$2:$A$52,1)))/(INDEX('hp (pSv cm2)'!$A$2:$A$52,MATCH($C420,'hp (pSv cm2)'!$A$2:$A$52,1)+1)-INDEX('hp (pSv cm2)'!$A$2:$A$52,MATCH($C420,'hp (pSv cm2)'!$A$2:$A$52,1))),$C420*'hp (pSv cm2)'!$B$2/'hp (pSv cm2)'!$A$2)</f>
        <v>0.40029039999999999</v>
      </c>
      <c r="G420" s="67">
        <f t="shared" si="32"/>
        <v>9.8071148000000003E-4</v>
      </c>
      <c r="H420" s="83">
        <f>_xlfn.IFNA(0.997*(INDEX('Mass attenuation coefficients'!$B$2:$B$37,MATCH($C420,'Mass attenuation coefficients'!$A$2:$A$37,1))+($C420-INDEX('Mass attenuation coefficients'!$A$2:$A$37,MATCH($C420,'Mass attenuation coefficients'!$A$2:$A$37,1)))*(INDEX('Mass attenuation coefficients'!$B$2:$B$37,MATCH($C420,'Mass attenuation coefficients'!$A$2:$A$37,1)+1)-INDEX('Mass attenuation coefficients'!$B$2:$B$37,MATCH($C420,'Mass attenuation coefficients'!$A$2:$A$37,1)))/(INDEX('Mass attenuation coefficients'!$A$2:$A$37,MATCH($C420,'Mass attenuation coefficients'!$A$2:$A$37,1)+1)-INDEX('Mass attenuation coefficients'!$A$2:$A$37,MATCH($C420,'Mass attenuation coefficients'!$A$2:$A$37,1)))),0.997*$C420*'Mass attenuation coefficients'!$B$2/'Mass attenuation coefficients'!$A$2)</f>
        <v>0.19960286956000001</v>
      </c>
      <c r="I420" s="83">
        <f>_xlfn.IFNA(INDEX('Shultis Faw'!$C$2:$C$26,MATCH($C420,'Shultis Faw'!$A$2:$A$26,1))+($C420-INDEX('Shultis Faw'!$A$2:$A$26,MATCH($C420,'Shultis Faw'!$A$2:$A$26,1)))*(INDEX('Shultis Faw'!$C$2:$C$26,MATCH($C420,'Shultis Faw'!$A$2:$A$26,1)+1)-INDEX('Shultis Faw'!$C$2:$C$26,MATCH($C420,'Shultis Faw'!$A$2:$A$26,1)))/(INDEX('Shultis Faw'!$A$2:$A$26,MATCH($C420,'Shultis Faw'!$A$2:$A$26,1)+1)-INDEX('Shultis Faw'!$A$2:$A$26,MATCH($C420,'Shultis Faw'!$A$2:$A$26,1))),$C420*'Shultis Faw'!$C$2/'Shultis Faw'!$A$2)</f>
        <v>5.0025015999999995</v>
      </c>
      <c r="J420" s="83">
        <f>_xlfn.IFNA(INDEX('Shultis Faw'!$D$2:$D$26,MATCH($C420,'Shultis Faw'!$A$2:$A$26,1))+($C420-INDEX('Shultis Faw'!$A$2:$A$26,MATCH($C420,'Shultis Faw'!$A$2:$A$26,1)))*(INDEX('Shultis Faw'!$D$2:$D$26,MATCH($C420,'Shultis Faw'!$A$2:$A$26,1)+1)-INDEX('Shultis Faw'!$D$2:$D$26,MATCH($C420,'Shultis Faw'!$A$2:$A$26,1)))/(INDEX('Shultis Faw'!$A$2:$A$26,MATCH($C420,'Shultis Faw'!$A$2:$A$26,1)+1)-INDEX('Shultis Faw'!$A$2:$A$26,MATCH($C420,'Shultis Faw'!$A$2:$A$26,1))),$C420*'Shultis Faw'!$D$2/'Shultis Faw'!$A$2)</f>
        <v>1.8144214000000001</v>
      </c>
      <c r="K420" s="83">
        <f>_xlfn.IFNA(INDEX('Shultis Faw'!$B$2:$B$26,MATCH($C420,'Shultis Faw'!$A$2:$A$26,1))+($C420-INDEX('Shultis Faw'!$A$2:$A$26,MATCH($C420,'Shultis Faw'!$A$2:$A$26,1)))*(INDEX('Shultis Faw'!$B$2:$B$26,MATCH($C420,'Shultis Faw'!$A$2:$A$26,1)+1)-INDEX('Shultis Faw'!$B$2:$B$26,MATCH($C420,'Shultis Faw'!$A$2:$A$26,1)))/(INDEX('Shultis Faw'!$A$2:$A$26,MATCH($C420,'Shultis Faw'!$A$2:$A$26,1)+1)-INDEX('Shultis Faw'!$A$2:$A$26,MATCH($C420,'Shultis Faw'!$A$2:$A$26,1))),$C420*'Shultis Faw'!$B$2/'Shultis Faw'!$A$2)</f>
        <v>-0.13677719999999999</v>
      </c>
      <c r="L420" s="83">
        <f>_xlfn.IFNA(INDEX('Shultis Faw'!$E$2:$E$26,MATCH($C420,'Shultis Faw'!$A$2:$A$26,1))+($C420-INDEX('Shultis Faw'!$A$2:$A$26,MATCH($C420,'Shultis Faw'!$A$2:$A$26,1)))*(INDEX('Shultis Faw'!$E$2:$E$26,MATCH($C420,'Shultis Faw'!$A$2:$A$26,1)+1)-INDEX('Shultis Faw'!$E$2:$E$26,MATCH($C420,'Shultis Faw'!$A$2:$A$26,1)))/(INDEX('Shultis Faw'!$A$2:$A$26,MATCH($C420,'Shultis Faw'!$A$2:$A$26,1)+1)-INDEX('Shultis Faw'!$A$2:$A$26,MATCH($C420,'Shultis Faw'!$A$2:$A$26,1))),$C420*'Shultis Faw'!$E$2/'Shultis Faw'!$A$2)</f>
        <v>6.1462939999999994E-2</v>
      </c>
      <c r="M420" s="83">
        <f>_xlfn.IFNA(INDEX('Shultis Faw'!$F$2:$F$26,MATCH($C420,'Shultis Faw'!$A$2:$A$26,1))+($C420-INDEX('Shultis Faw'!$A$2:$A$26,MATCH($C420,'Shultis Faw'!$A$2:$A$26,1)))*(INDEX('Shultis Faw'!$F$2:$F$26,MATCH($C420,'Shultis Faw'!$A$2:$A$26,1)+1)-INDEX('Shultis Faw'!$F$2:$F$26,MATCH($C420,'Shultis Faw'!$A$2:$A$26,1)))/(INDEX('Shultis Faw'!$A$2:$A$26,MATCH($C420,'Shultis Faw'!$A$2:$A$26,1)+1)-INDEX('Shultis Faw'!$A$2:$A$26,MATCH($C420,'Shultis Faw'!$A$2:$A$26,1))),$C420*'Shultis Faw'!$F$2/'Shultis Faw'!$A$2)</f>
        <v>13.647698</v>
      </c>
      <c r="N420" s="83">
        <f>J420*(H420*'Externe blootstelling'!$D$23/2)^K420+L420*(TANH(((H420*'Externe blootstelling'!$D$23)/(2*M420))-2)-TANH(-2))/(1-TANH(-2))</f>
        <v>1.5623004243717604</v>
      </c>
      <c r="O420" s="83">
        <f>IF(N420=1,1+(I420-1)*H420*'Externe blootstelling'!$D$23/2,1+(I420-1)*(N420^(H420*'Externe blootstelling'!$D$23/2)-1)/(N420-1))</f>
        <v>20.952804472457657</v>
      </c>
      <c r="P420" s="67">
        <f>G420*EXP(-H420*'Externe blootstelling'!$D$23/2)*O420</f>
        <v>1.0291698313886505E-3</v>
      </c>
      <c r="Q420" s="68"/>
    </row>
    <row r="421" spans="1:17" x14ac:dyDescent="0.2">
      <c r="A421" s="217"/>
      <c r="B421" s="64" t="s">
        <v>103</v>
      </c>
      <c r="C421" s="66">
        <v>7.1641800000000005E-2</v>
      </c>
      <c r="D421" s="66">
        <f t="shared" si="31"/>
        <v>1.1462688E-14</v>
      </c>
      <c r="E421" s="66">
        <v>1.7260000000000001E-3</v>
      </c>
      <c r="F421" s="66">
        <f>_xlfn.IFNA(INDEX('hp (pSv cm2)'!$B$2:$B$52,MATCH($C421,'hp (pSv cm2)'!$A$2:$A$52,1))+($C421-INDEX('hp (pSv cm2)'!$A$2:$A$52,MATCH($C421,'hp (pSv cm2)'!$A$2:$A$52,1)))*(INDEX('hp (pSv cm2)'!$B$2:$B$52,MATCH($C421,'hp (pSv cm2)'!$A$2:$A$52,1)+1)-INDEX('hp (pSv cm2)'!$B$2:$B$52,MATCH($C421,'hp (pSv cm2)'!$A$2:$A$52,1)))/(INDEX('hp (pSv cm2)'!$A$2:$A$52,MATCH($C421,'hp (pSv cm2)'!$A$2:$A$52,1)+1)-INDEX('hp (pSv cm2)'!$A$2:$A$52,MATCH($C421,'hp (pSv cm2)'!$A$2:$A$52,1))),$C421*'hp (pSv cm2)'!$B$2/'hp (pSv cm2)'!$A$2)</f>
        <v>0.41625375999999997</v>
      </c>
      <c r="G421" s="67">
        <f t="shared" si="32"/>
        <v>7.1845398975999995E-4</v>
      </c>
      <c r="H421" s="83">
        <f>_xlfn.IFNA(0.997*(INDEX('Mass attenuation coefficients'!$B$2:$B$37,MATCH($C421,'Mass attenuation coefficients'!$A$2:$A$37,1))+($C421-INDEX('Mass attenuation coefficients'!$A$2:$A$37,MATCH($C421,'Mass attenuation coefficients'!$A$2:$A$37,1)))*(INDEX('Mass attenuation coefficients'!$B$2:$B$37,MATCH($C421,'Mass attenuation coefficients'!$A$2:$A$37,1)+1)-INDEX('Mass attenuation coefficients'!$B$2:$B$37,MATCH($C421,'Mass attenuation coefficients'!$A$2:$A$37,1)))/(INDEX('Mass attenuation coefficients'!$A$2:$A$37,MATCH($C421,'Mass attenuation coefficients'!$A$2:$A$37,1)+1)-INDEX('Mass attenuation coefficients'!$A$2:$A$37,MATCH($C421,'Mass attenuation coefficients'!$A$2:$A$37,1)))),0.997*$C421*'Mass attenuation coefficients'!$B$2/'Mass attenuation coefficients'!$A$2)</f>
        <v>0.192398669194</v>
      </c>
      <c r="I421" s="83">
        <f>_xlfn.IFNA(INDEX('Shultis Faw'!$C$2:$C$26,MATCH($C421,'Shultis Faw'!$A$2:$A$26,1))+($C421-INDEX('Shultis Faw'!$A$2:$A$26,MATCH($C421,'Shultis Faw'!$A$2:$A$26,1)))*(INDEX('Shultis Faw'!$C$2:$C$26,MATCH($C421,'Shultis Faw'!$A$2:$A$26,1)+1)-INDEX('Shultis Faw'!$C$2:$C$26,MATCH($C421,'Shultis Faw'!$A$2:$A$26,1)))/(INDEX('Shultis Faw'!$A$2:$A$26,MATCH($C421,'Shultis Faw'!$A$2:$A$26,1)+1)-INDEX('Shultis Faw'!$A$2:$A$26,MATCH($C421,'Shultis Faw'!$A$2:$A$26,1))),$C421*'Shultis Faw'!$C$2/'Shultis Faw'!$A$2)</f>
        <v>5.0272388399999999</v>
      </c>
      <c r="J421" s="83">
        <f>_xlfn.IFNA(INDEX('Shultis Faw'!$D$2:$D$26,MATCH($C421,'Shultis Faw'!$A$2:$A$26,1))+($C421-INDEX('Shultis Faw'!$A$2:$A$26,MATCH($C421,'Shultis Faw'!$A$2:$A$26,1)))*(INDEX('Shultis Faw'!$D$2:$D$26,MATCH($C421,'Shultis Faw'!$A$2:$A$26,1)+1)-INDEX('Shultis Faw'!$D$2:$D$26,MATCH($C421,'Shultis Faw'!$A$2:$A$26,1)))/(INDEX('Shultis Faw'!$A$2:$A$26,MATCH($C421,'Shultis Faw'!$A$2:$A$26,1)+1)-INDEX('Shultis Faw'!$A$2:$A$26,MATCH($C421,'Shultis Faw'!$A$2:$A$26,1))),$C421*'Shultis Faw'!$D$2/'Shultis Faw'!$A$2)</f>
        <v>1.9215076100000001</v>
      </c>
      <c r="K421" s="83">
        <f>_xlfn.IFNA(INDEX('Shultis Faw'!$B$2:$B$26,MATCH($C421,'Shultis Faw'!$A$2:$A$26,1))+($C421-INDEX('Shultis Faw'!$A$2:$A$26,MATCH($C421,'Shultis Faw'!$A$2:$A$26,1)))*(INDEX('Shultis Faw'!$B$2:$B$26,MATCH($C421,'Shultis Faw'!$A$2:$A$26,1)+1)-INDEX('Shultis Faw'!$B$2:$B$26,MATCH($C421,'Shultis Faw'!$A$2:$A$26,1)))/(INDEX('Shultis Faw'!$A$2:$A$26,MATCH($C421,'Shultis Faw'!$A$2:$A$26,1)+1)-INDEX('Shultis Faw'!$A$2:$A$26,MATCH($C421,'Shultis Faw'!$A$2:$A$26,1))),$C421*'Shultis Faw'!$B$2/'Shultis Faw'!$A$2)</f>
        <v>-0.15044778000000003</v>
      </c>
      <c r="L421" s="83">
        <f>_xlfn.IFNA(INDEX('Shultis Faw'!$E$2:$E$26,MATCH($C421,'Shultis Faw'!$A$2:$A$26,1))+($C421-INDEX('Shultis Faw'!$A$2:$A$26,MATCH($C421,'Shultis Faw'!$A$2:$A$26,1)))*(INDEX('Shultis Faw'!$E$2:$E$26,MATCH($C421,'Shultis Faw'!$A$2:$A$26,1)+1)-INDEX('Shultis Faw'!$E$2:$E$26,MATCH($C421,'Shultis Faw'!$A$2:$A$26,1)))/(INDEX('Shultis Faw'!$A$2:$A$26,MATCH($C421,'Shultis Faw'!$A$2:$A$26,1)+1)-INDEX('Shultis Faw'!$A$2:$A$26,MATCH($C421,'Shultis Faw'!$A$2:$A$26,1))),$C421*'Shultis Faw'!$E$2/'Shultis Faw'!$A$2)</f>
        <v>6.8265681000000009E-2</v>
      </c>
      <c r="M421" s="83">
        <f>_xlfn.IFNA(INDEX('Shultis Faw'!$F$2:$F$26,MATCH($C421,'Shultis Faw'!$A$2:$A$26,1))+($C421-INDEX('Shultis Faw'!$A$2:$A$26,MATCH($C421,'Shultis Faw'!$A$2:$A$26,1)))*(INDEX('Shultis Faw'!$F$2:$F$26,MATCH($C421,'Shultis Faw'!$A$2:$A$26,1)+1)-INDEX('Shultis Faw'!$F$2:$F$26,MATCH($C421,'Shultis Faw'!$A$2:$A$26,1)))/(INDEX('Shultis Faw'!$A$2:$A$26,MATCH($C421,'Shultis Faw'!$A$2:$A$26,1)+1)-INDEX('Shultis Faw'!$A$2:$A$26,MATCH($C421,'Shultis Faw'!$A$2:$A$26,1))),$C421*'Shultis Faw'!$F$2/'Shultis Faw'!$A$2)</f>
        <v>13.6574627</v>
      </c>
      <c r="N421" s="83">
        <f>J421*(H421*'Externe blootstelling'!$D$23/2)^K421+L421*(TANH(((H421*'Externe blootstelling'!$D$23)/(2*M421))-2)-TANH(-2))/(1-TANH(-2))</f>
        <v>1.6389343439073056</v>
      </c>
      <c r="O421" s="83">
        <f>IF(N421=1,1+(I421-1)*H421*'Externe blootstelling'!$D$23/2,1+(I421-1)*(N421^(H421*'Externe blootstelling'!$D$23/2)-1)/(N421-1))</f>
        <v>20.925327440474948</v>
      </c>
      <c r="P421" s="67">
        <f>G421*EXP(-H421*'Externe blootstelling'!$D$23/2)*O421</f>
        <v>8.3889193294929912E-4</v>
      </c>
      <c r="Q421" s="68"/>
    </row>
    <row r="422" spans="1:17" x14ac:dyDescent="0.2">
      <c r="A422" s="217"/>
      <c r="B422" s="64" t="s">
        <v>103</v>
      </c>
      <c r="C422" s="66">
        <v>0.1129498</v>
      </c>
      <c r="D422" s="66">
        <f t="shared" si="31"/>
        <v>1.8071967999999998E-14</v>
      </c>
      <c r="E422" s="66">
        <v>6.2E-2</v>
      </c>
      <c r="F422" s="66">
        <f>_xlfn.IFNA(INDEX('hp (pSv cm2)'!$B$2:$B$52,MATCH($C422,'hp (pSv cm2)'!$A$2:$A$52,1))+($C422-INDEX('hp (pSv cm2)'!$A$2:$A$52,MATCH($C422,'hp (pSv cm2)'!$A$2:$A$52,1)))*(INDEX('hp (pSv cm2)'!$B$2:$B$52,MATCH($C422,'hp (pSv cm2)'!$A$2:$A$52,1)+1)-INDEX('hp (pSv cm2)'!$B$2:$B$52,MATCH($C422,'hp (pSv cm2)'!$A$2:$A$52,1)))/(INDEX('hp (pSv cm2)'!$A$2:$A$52,MATCH($C422,'hp (pSv cm2)'!$A$2:$A$52,1)+1)-INDEX('hp (pSv cm2)'!$A$2:$A$52,MATCH($C422,'hp (pSv cm2)'!$A$2:$A$52,1))),$C422*'hp (pSv cm2)'!$B$2/'hp (pSv cm2)'!$A$2)</f>
        <v>0.57731008400000006</v>
      </c>
      <c r="G422" s="67">
        <f t="shared" si="32"/>
        <v>3.5793225208000004E-2</v>
      </c>
      <c r="H422" s="83">
        <f>_xlfn.IFNA(0.997*(INDEX('Mass attenuation coefficients'!$B$2:$B$37,MATCH($C422,'Mass attenuation coefficients'!$A$2:$A$37,1))+($C422-INDEX('Mass attenuation coefficients'!$A$2:$A$37,MATCH($C422,'Mass attenuation coefficients'!$A$2:$A$37,1)))*(INDEX('Mass attenuation coefficients'!$B$2:$B$37,MATCH($C422,'Mass attenuation coefficients'!$A$2:$A$37,1)+1)-INDEX('Mass attenuation coefficients'!$B$2:$B$37,MATCH($C422,'Mass attenuation coefficients'!$A$2:$A$37,1)))/(INDEX('Mass attenuation coefficients'!$A$2:$A$37,MATCH($C422,'Mass attenuation coefficients'!$A$2:$A$37,1)+1)-INDEX('Mass attenuation coefficients'!$A$2:$A$37,MATCH($C422,'Mass attenuation coefficients'!$A$2:$A$37,1)))),0.997*$C422*'Mass attenuation coefficients'!$B$2/'Mass attenuation coefficients'!$A$2)</f>
        <v>0.16497187595759999</v>
      </c>
      <c r="I422" s="83">
        <f>_xlfn.IFNA(INDEX('Shultis Faw'!$C$2:$C$26,MATCH($C422,'Shultis Faw'!$A$2:$A$26,1))+($C422-INDEX('Shultis Faw'!$A$2:$A$26,MATCH($C422,'Shultis Faw'!$A$2:$A$26,1)))*(INDEX('Shultis Faw'!$C$2:$C$26,MATCH($C422,'Shultis Faw'!$A$2:$A$26,1)+1)-INDEX('Shultis Faw'!$C$2:$C$26,MATCH($C422,'Shultis Faw'!$A$2:$A$26,1)))/(INDEX('Shultis Faw'!$A$2:$A$26,MATCH($C422,'Shultis Faw'!$A$2:$A$26,1)+1)-INDEX('Shultis Faw'!$A$2:$A$26,MATCH($C422,'Shultis Faw'!$A$2:$A$26,1))),$C422*'Shultis Faw'!$C$2/'Shultis Faw'!$A$2)</f>
        <v>4.4646090640000002</v>
      </c>
      <c r="J422" s="83">
        <f>_xlfn.IFNA(INDEX('Shultis Faw'!$D$2:$D$26,MATCH($C422,'Shultis Faw'!$A$2:$A$26,1))+($C422-INDEX('Shultis Faw'!$A$2:$A$26,MATCH($C422,'Shultis Faw'!$A$2:$A$26,1)))*(INDEX('Shultis Faw'!$D$2:$D$26,MATCH($C422,'Shultis Faw'!$A$2:$A$26,1)+1)-INDEX('Shultis Faw'!$D$2:$D$26,MATCH($C422,'Shultis Faw'!$A$2:$A$26,1)))/(INDEX('Shultis Faw'!$A$2:$A$26,MATCH($C422,'Shultis Faw'!$A$2:$A$26,1)+1)-INDEX('Shultis Faw'!$A$2:$A$26,MATCH($C422,'Shultis Faw'!$A$2:$A$26,1))),$C422*'Shultis Faw'!$D$2/'Shultis Faw'!$A$2)</f>
        <v>2.2264389160000002</v>
      </c>
      <c r="K422" s="83">
        <f>_xlfn.IFNA(INDEX('Shultis Faw'!$B$2:$B$26,MATCH($C422,'Shultis Faw'!$A$2:$A$26,1))+($C422-INDEX('Shultis Faw'!$A$2:$A$26,MATCH($C422,'Shultis Faw'!$A$2:$A$26,1)))*(INDEX('Shultis Faw'!$B$2:$B$26,MATCH($C422,'Shultis Faw'!$A$2:$A$26,1)+1)-INDEX('Shultis Faw'!$B$2:$B$26,MATCH($C422,'Shultis Faw'!$A$2:$A$26,1)))/(INDEX('Shultis Faw'!$A$2:$A$26,MATCH($C422,'Shultis Faw'!$A$2:$A$26,1)+1)-INDEX('Shultis Faw'!$A$2:$A$26,MATCH($C422,'Shultis Faw'!$A$2:$A$26,1))),$C422*'Shultis Faw'!$B$2/'Shultis Faw'!$A$2)</f>
        <v>-0.18574100399999999</v>
      </c>
      <c r="L422" s="83">
        <f>_xlfn.IFNA(INDEX('Shultis Faw'!$E$2:$E$26,MATCH($C422,'Shultis Faw'!$A$2:$A$26,1))+($C422-INDEX('Shultis Faw'!$A$2:$A$26,MATCH($C422,'Shultis Faw'!$A$2:$A$26,1)))*(INDEX('Shultis Faw'!$E$2:$E$26,MATCH($C422,'Shultis Faw'!$A$2:$A$26,1)+1)-INDEX('Shultis Faw'!$E$2:$E$26,MATCH($C422,'Shultis Faw'!$A$2:$A$26,1)))/(INDEX('Shultis Faw'!$A$2:$A$26,MATCH($C422,'Shultis Faw'!$A$2:$A$26,1)+1)-INDEX('Shultis Faw'!$A$2:$A$26,MATCH($C422,'Shultis Faw'!$A$2:$A$26,1))),$C422*'Shultis Faw'!$E$2/'Shultis Faw'!$A$2)</f>
        <v>8.133091960000001E-2</v>
      </c>
      <c r="M422" s="83">
        <f>_xlfn.IFNA(INDEX('Shultis Faw'!$F$2:$F$26,MATCH($C422,'Shultis Faw'!$A$2:$A$26,1))+($C422-INDEX('Shultis Faw'!$A$2:$A$26,MATCH($C422,'Shultis Faw'!$A$2:$A$26,1)))*(INDEX('Shultis Faw'!$F$2:$F$26,MATCH($C422,'Shultis Faw'!$A$2:$A$26,1)+1)-INDEX('Shultis Faw'!$F$2:$F$26,MATCH($C422,'Shultis Faw'!$A$2:$A$26,1)))/(INDEX('Shultis Faw'!$A$2:$A$26,MATCH($C422,'Shultis Faw'!$A$2:$A$26,1)+1)-INDEX('Shultis Faw'!$A$2:$A$26,MATCH($C422,'Shultis Faw'!$A$2:$A$26,1))),$C422*'Shultis Faw'!$F$2/'Shultis Faw'!$A$2)</f>
        <v>13.55273656</v>
      </c>
      <c r="N422" s="83">
        <f>J422*(H422*'Externe blootstelling'!$D$23/2)^K422+L422*(TANH(((H422*'Externe blootstelling'!$D$23)/(2*M422))-2)-TANH(-2))/(1-TANH(-2))</f>
        <v>1.8822144752144121</v>
      </c>
      <c r="O422" s="83">
        <f>IF(N422=1,1+(I422-1)*H422*'Externe blootstelling'!$D$23/2,1+(I422-1)*(N422^(H422*'Externe blootstelling'!$D$23/2)-1)/(N422-1))</f>
        <v>15.856054798657093</v>
      </c>
      <c r="P422" s="67">
        <f>G422*EXP(-H422*'Externe blootstelling'!$D$23/2)*O422</f>
        <v>4.7785962734966346E-2</v>
      </c>
      <c r="Q422" s="68"/>
    </row>
    <row r="423" spans="1:17" x14ac:dyDescent="0.2">
      <c r="A423" s="217"/>
      <c r="B423" s="64" t="s">
        <v>103</v>
      </c>
      <c r="C423" s="66">
        <v>0.1367245</v>
      </c>
      <c r="D423" s="66">
        <f t="shared" si="31"/>
        <v>2.187592E-14</v>
      </c>
      <c r="E423" s="66">
        <v>4.6999999999999999E-4</v>
      </c>
      <c r="F423" s="66">
        <f>_xlfn.IFNA(INDEX('hp (pSv cm2)'!$B$2:$B$52,MATCH($C423,'hp (pSv cm2)'!$A$2:$A$52,1))+($C423-INDEX('hp (pSv cm2)'!$A$2:$A$52,MATCH($C423,'hp (pSv cm2)'!$A$2:$A$52,1)))*(INDEX('hp (pSv cm2)'!$B$2:$B$52,MATCH($C423,'hp (pSv cm2)'!$A$2:$A$52,1)+1)-INDEX('hp (pSv cm2)'!$B$2:$B$52,MATCH($C423,'hp (pSv cm2)'!$A$2:$A$52,1)))/(INDEX('hp (pSv cm2)'!$A$2:$A$52,MATCH($C423,'hp (pSv cm2)'!$A$2:$A$52,1)+1)-INDEX('hp (pSv cm2)'!$A$2:$A$52,MATCH($C423,'hp (pSv cm2)'!$A$2:$A$52,1))),$C423*'hp (pSv cm2)'!$B$2/'hp (pSv cm2)'!$A$2)</f>
        <v>0.68619821000000003</v>
      </c>
      <c r="G423" s="67">
        <f t="shared" si="32"/>
        <v>3.2251315869999999E-4</v>
      </c>
      <c r="H423" s="83">
        <f>_xlfn.IFNA(0.997*(INDEX('Mass attenuation coefficients'!$B$2:$B$37,MATCH($C423,'Mass attenuation coefficients'!$A$2:$A$37,1))+($C423-INDEX('Mass attenuation coefficients'!$A$2:$A$37,MATCH($C423,'Mass attenuation coefficients'!$A$2:$A$37,1)))*(INDEX('Mass attenuation coefficients'!$B$2:$B$37,MATCH($C423,'Mass attenuation coefficients'!$A$2:$A$37,1)+1)-INDEX('Mass attenuation coefficients'!$B$2:$B$37,MATCH($C423,'Mass attenuation coefficients'!$A$2:$A$37,1)))/(INDEX('Mass attenuation coefficients'!$A$2:$A$37,MATCH($C423,'Mass attenuation coefficients'!$A$2:$A$37,1)+1)-INDEX('Mass attenuation coefficients'!$A$2:$A$37,MATCH($C423,'Mass attenuation coefficients'!$A$2:$A$37,1)))),0.997*$C423*'Mass attenuation coefficients'!$B$2/'Mass attenuation coefficients'!$A$2)</f>
        <v>0.15539571209399999</v>
      </c>
      <c r="I423" s="83">
        <f>_xlfn.IFNA(INDEX('Shultis Faw'!$C$2:$C$26,MATCH($C423,'Shultis Faw'!$A$2:$A$26,1))+($C423-INDEX('Shultis Faw'!$A$2:$A$26,MATCH($C423,'Shultis Faw'!$A$2:$A$26,1)))*(INDEX('Shultis Faw'!$C$2:$C$26,MATCH($C423,'Shultis Faw'!$A$2:$A$26,1)+1)-INDEX('Shultis Faw'!$C$2:$C$26,MATCH($C423,'Shultis Faw'!$A$2:$A$26,1)))/(INDEX('Shultis Faw'!$A$2:$A$26,MATCH($C423,'Shultis Faw'!$A$2:$A$26,1)+1)-INDEX('Shultis Faw'!$A$2:$A$26,MATCH($C423,'Shultis Faw'!$A$2:$A$26,1))),$C423*'Shultis Faw'!$C$2/'Shultis Faw'!$A$2)</f>
        <v>4.1003806599999999</v>
      </c>
      <c r="J423" s="83">
        <f>_xlfn.IFNA(INDEX('Shultis Faw'!$D$2:$D$26,MATCH($C423,'Shultis Faw'!$A$2:$A$26,1))+($C423-INDEX('Shultis Faw'!$A$2:$A$26,MATCH($C423,'Shultis Faw'!$A$2:$A$26,1)))*(INDEX('Shultis Faw'!$D$2:$D$26,MATCH($C423,'Shultis Faw'!$A$2:$A$26,1)+1)-INDEX('Shultis Faw'!$D$2:$D$26,MATCH($C423,'Shultis Faw'!$A$2:$A$26,1)))/(INDEX('Shultis Faw'!$A$2:$A$26,MATCH($C423,'Shultis Faw'!$A$2:$A$26,1)+1)-INDEX('Shultis Faw'!$A$2:$A$26,MATCH($C423,'Shultis Faw'!$A$2:$A$26,1))),$C423*'Shultis Faw'!$D$2/'Shultis Faw'!$A$2)</f>
        <v>2.23642429</v>
      </c>
      <c r="K423" s="83">
        <f>_xlfn.IFNA(INDEX('Shultis Faw'!$B$2:$B$26,MATCH($C423,'Shultis Faw'!$A$2:$A$26,1))+($C423-INDEX('Shultis Faw'!$A$2:$A$26,MATCH($C423,'Shultis Faw'!$A$2:$A$26,1)))*(INDEX('Shultis Faw'!$B$2:$B$26,MATCH($C423,'Shultis Faw'!$A$2:$A$26,1)+1)-INDEX('Shultis Faw'!$B$2:$B$26,MATCH($C423,'Shultis Faw'!$A$2:$A$26,1)))/(INDEX('Shultis Faw'!$A$2:$A$26,MATCH($C423,'Shultis Faw'!$A$2:$A$26,1)+1)-INDEX('Shultis Faw'!$A$2:$A$26,MATCH($C423,'Shultis Faw'!$A$2:$A$26,1))),$C423*'Shultis Faw'!$B$2/'Shultis Faw'!$A$2)</f>
        <v>-0.18526550999999999</v>
      </c>
      <c r="L423" s="83">
        <f>_xlfn.IFNA(INDEX('Shultis Faw'!$E$2:$E$26,MATCH($C423,'Shultis Faw'!$A$2:$A$26,1))+($C423-INDEX('Shultis Faw'!$A$2:$A$26,MATCH($C423,'Shultis Faw'!$A$2:$A$26,1)))*(INDEX('Shultis Faw'!$E$2:$E$26,MATCH($C423,'Shultis Faw'!$A$2:$A$26,1)+1)-INDEX('Shultis Faw'!$E$2:$E$26,MATCH($C423,'Shultis Faw'!$A$2:$A$26,1)))/(INDEX('Shultis Faw'!$A$2:$A$26,MATCH($C423,'Shultis Faw'!$A$2:$A$26,1)+1)-INDEX('Shultis Faw'!$A$2:$A$26,MATCH($C423,'Shultis Faw'!$A$2:$A$26,1))),$C423*'Shultis Faw'!$E$2/'Shultis Faw'!$A$2)</f>
        <v>7.9000999000000002E-2</v>
      </c>
      <c r="M423" s="83">
        <f>_xlfn.IFNA(INDEX('Shultis Faw'!$F$2:$F$26,MATCH($C423,'Shultis Faw'!$A$2:$A$26,1))+($C423-INDEX('Shultis Faw'!$A$2:$A$26,MATCH($C423,'Shultis Faw'!$A$2:$A$26,1)))*(INDEX('Shultis Faw'!$F$2:$F$26,MATCH($C423,'Shultis Faw'!$A$2:$A$26,1)+1)-INDEX('Shultis Faw'!$F$2:$F$26,MATCH($C423,'Shultis Faw'!$A$2:$A$26,1)))/(INDEX('Shultis Faw'!$A$2:$A$26,MATCH($C423,'Shultis Faw'!$A$2:$A$26,1)+1)-INDEX('Shultis Faw'!$A$2:$A$26,MATCH($C423,'Shultis Faw'!$A$2:$A$26,1))),$C423*'Shultis Faw'!$F$2/'Shultis Faw'!$A$2)</f>
        <v>13.961661400000001</v>
      </c>
      <c r="N423" s="83">
        <f>J423*(H423*'Externe blootstelling'!$D$23/2)^K423+L423*(TANH(((H423*'Externe blootstelling'!$D$23)/(2*M423))-2)-TANH(-2))/(1-TANH(-2))</f>
        <v>1.9124519790009951</v>
      </c>
      <c r="O423" s="83">
        <f>IF(N423=1,1+(I423-1)*H423*'Externe blootstelling'!$D$23/2,1+(I423-1)*(N423^(H423*'Externe blootstelling'!$D$23/2)-1)/(N423-1))</f>
        <v>13.004048615547063</v>
      </c>
      <c r="P423" s="67">
        <f>G423*EXP(-H423*'Externe blootstelling'!$D$23/2)*O423</f>
        <v>4.0767447359344936E-4</v>
      </c>
      <c r="Q423" s="68"/>
    </row>
    <row r="424" spans="1:17" x14ac:dyDescent="0.2">
      <c r="A424" s="217"/>
      <c r="B424" s="64" t="s">
        <v>103</v>
      </c>
      <c r="C424" s="66">
        <v>0.2083662</v>
      </c>
      <c r="D424" s="66">
        <f t="shared" si="31"/>
        <v>3.3338592000000001E-14</v>
      </c>
      <c r="E424" s="66">
        <v>0.1038</v>
      </c>
      <c r="F424" s="66">
        <f>_xlfn.IFNA(INDEX('hp (pSv cm2)'!$B$2:$B$52,MATCH($C424,'hp (pSv cm2)'!$A$2:$A$52,1))+($C424-INDEX('hp (pSv cm2)'!$A$2:$A$52,MATCH($C424,'hp (pSv cm2)'!$A$2:$A$52,1)))*(INDEX('hp (pSv cm2)'!$B$2:$B$52,MATCH($C424,'hp (pSv cm2)'!$A$2:$A$52,1)+1)-INDEX('hp (pSv cm2)'!$B$2:$B$52,MATCH($C424,'hp (pSv cm2)'!$A$2:$A$52,1)))/(INDEX('hp (pSv cm2)'!$A$2:$A$52,MATCH($C424,'hp (pSv cm2)'!$A$2:$A$52,1)+1)-INDEX('hp (pSv cm2)'!$A$2:$A$52,MATCH($C424,'hp (pSv cm2)'!$A$2:$A$52,1))),$C424*'hp (pSv cm2)'!$B$2/'hp (pSv cm2)'!$A$2)</f>
        <v>1.04266762</v>
      </c>
      <c r="G424" s="67">
        <f t="shared" si="32"/>
        <v>0.10822889895600001</v>
      </c>
      <c r="H424" s="83">
        <f>_xlfn.IFNA(0.997*(INDEX('Mass attenuation coefficients'!$B$2:$B$37,MATCH($C424,'Mass attenuation coefficients'!$A$2:$A$37,1))+($C424-INDEX('Mass attenuation coefficients'!$A$2:$A$37,MATCH($C424,'Mass attenuation coefficients'!$A$2:$A$37,1)))*(INDEX('Mass attenuation coefficients'!$B$2:$B$37,MATCH($C424,'Mass attenuation coefficients'!$A$2:$A$37,1)+1)-INDEX('Mass attenuation coefficients'!$B$2:$B$37,MATCH($C424,'Mass attenuation coefficients'!$A$2:$A$37,1)))/(INDEX('Mass attenuation coefficients'!$A$2:$A$37,MATCH($C424,'Mass attenuation coefficients'!$A$2:$A$37,1)+1)-INDEX('Mass attenuation coefficients'!$A$2:$A$37,MATCH($C424,'Mass attenuation coefficients'!$A$2:$A$37,1)))),0.997*$C424*'Mass attenuation coefficients'!$B$2/'Mass attenuation coefficients'!$A$2)</f>
        <v>0.13505423734240002</v>
      </c>
      <c r="I424" s="83">
        <f>_xlfn.IFNA(INDEX('Shultis Faw'!$C$2:$C$26,MATCH($C424,'Shultis Faw'!$A$2:$A$26,1))+($C424-INDEX('Shultis Faw'!$A$2:$A$26,MATCH($C424,'Shultis Faw'!$A$2:$A$26,1)))*(INDEX('Shultis Faw'!$C$2:$C$26,MATCH($C424,'Shultis Faw'!$A$2:$A$26,1)+1)-INDEX('Shultis Faw'!$C$2:$C$26,MATCH($C424,'Shultis Faw'!$A$2:$A$26,1)))/(INDEX('Shultis Faw'!$A$2:$A$26,MATCH($C424,'Shultis Faw'!$A$2:$A$26,1)+1)-INDEX('Shultis Faw'!$A$2:$A$26,MATCH($C424,'Shultis Faw'!$A$2:$A$26,1))),$C424*'Shultis Faw'!$C$2/'Shultis Faw'!$A$2)</f>
        <v>3.431316604</v>
      </c>
      <c r="J424" s="83">
        <f>_xlfn.IFNA(INDEX('Shultis Faw'!$D$2:$D$26,MATCH($C424,'Shultis Faw'!$A$2:$A$26,1))+($C424-INDEX('Shultis Faw'!$A$2:$A$26,MATCH($C424,'Shultis Faw'!$A$2:$A$26,1)))*(INDEX('Shultis Faw'!$D$2:$D$26,MATCH($C424,'Shultis Faw'!$A$2:$A$26,1)+1)-INDEX('Shultis Faw'!$D$2:$D$26,MATCH($C424,'Shultis Faw'!$A$2:$A$26,1)))/(INDEX('Shultis Faw'!$A$2:$A$26,MATCH($C424,'Shultis Faw'!$A$2:$A$26,1)+1)-INDEX('Shultis Faw'!$A$2:$A$26,MATCH($C424,'Shultis Faw'!$A$2:$A$26,1))),$C424*'Shultis Faw'!$D$2/'Shultis Faw'!$A$2)</f>
        <v>2.1429566159999998</v>
      </c>
      <c r="K424" s="83">
        <f>_xlfn.IFNA(INDEX('Shultis Faw'!$B$2:$B$26,MATCH($C424,'Shultis Faw'!$A$2:$A$26,1))+($C424-INDEX('Shultis Faw'!$A$2:$A$26,MATCH($C424,'Shultis Faw'!$A$2:$A$26,1)))*(INDEX('Shultis Faw'!$B$2:$B$26,MATCH($C424,'Shultis Faw'!$A$2:$A$26,1)+1)-INDEX('Shultis Faw'!$B$2:$B$26,MATCH($C424,'Shultis Faw'!$A$2:$A$26,1)))/(INDEX('Shultis Faw'!$A$2:$A$26,MATCH($C424,'Shultis Faw'!$A$2:$A$26,1)+1)-INDEX('Shultis Faw'!$A$2:$A$26,MATCH($C424,'Shultis Faw'!$A$2:$A$26,1))),$C424*'Shultis Faw'!$B$2/'Shultis Faw'!$A$2)</f>
        <v>-0.17499605599999998</v>
      </c>
      <c r="L424" s="83">
        <f>_xlfn.IFNA(INDEX('Shultis Faw'!$E$2:$E$26,MATCH($C424,'Shultis Faw'!$A$2:$A$26,1))+($C424-INDEX('Shultis Faw'!$A$2:$A$26,MATCH($C424,'Shultis Faw'!$A$2:$A$26,1)))*(INDEX('Shultis Faw'!$E$2:$E$26,MATCH($C424,'Shultis Faw'!$A$2:$A$26,1)+1)-INDEX('Shultis Faw'!$E$2:$E$26,MATCH($C424,'Shultis Faw'!$A$2:$A$26,1)))/(INDEX('Shultis Faw'!$A$2:$A$26,MATCH($C424,'Shultis Faw'!$A$2:$A$26,1)+1)-INDEX('Shultis Faw'!$A$2:$A$26,MATCH($C424,'Shultis Faw'!$A$2:$A$26,1))),$C424*'Shultis Faw'!$E$2/'Shultis Faw'!$A$2)</f>
        <v>7.6404422200000002E-2</v>
      </c>
      <c r="M424" s="83">
        <f>_xlfn.IFNA(INDEX('Shultis Faw'!$F$2:$F$26,MATCH($C424,'Shultis Faw'!$A$2:$A$26,1))+($C424-INDEX('Shultis Faw'!$A$2:$A$26,MATCH($C424,'Shultis Faw'!$A$2:$A$26,1)))*(INDEX('Shultis Faw'!$F$2:$F$26,MATCH($C424,'Shultis Faw'!$A$2:$A$26,1)+1)-INDEX('Shultis Faw'!$F$2:$F$26,MATCH($C424,'Shultis Faw'!$A$2:$A$26,1)))/(INDEX('Shultis Faw'!$A$2:$A$26,MATCH($C424,'Shultis Faw'!$A$2:$A$26,1)+1)-INDEX('Shultis Faw'!$A$2:$A$26,MATCH($C424,'Shultis Faw'!$A$2:$A$26,1))),$C424*'Shultis Faw'!$F$2/'Shultis Faw'!$A$2)</f>
        <v>14.47573802</v>
      </c>
      <c r="N424" s="83">
        <f>J424*(H424*'Externe blootstelling'!$D$23/2)^K424+L424*(TANH(((H424*'Externe blootstelling'!$D$23)/(2*M424))-2)-TANH(-2))/(1-TANH(-2))</f>
        <v>1.8943527872547368</v>
      </c>
      <c r="O424" s="83">
        <f>IF(N424=1,1+(I424-1)*H424*'Externe blootstelling'!$D$23/2,1+(I424-1)*(N424^(H424*'Externe blootstelling'!$D$23/2)-1)/(N424-1))</f>
        <v>8.1993084932900224</v>
      </c>
      <c r="P424" s="67">
        <f>G424*EXP(-H424*'Externe blootstelling'!$D$23/2)*O424</f>
        <v>0.1170363627866883</v>
      </c>
      <c r="Q424" s="68"/>
    </row>
    <row r="425" spans="1:17" x14ac:dyDescent="0.2">
      <c r="A425" s="217"/>
      <c r="B425" s="64" t="s">
        <v>103</v>
      </c>
      <c r="C425" s="66">
        <v>0.24967420000000001</v>
      </c>
      <c r="D425" s="66">
        <f t="shared" si="31"/>
        <v>3.9947872000000001E-14</v>
      </c>
      <c r="E425" s="66">
        <v>2.0119999999999999E-3</v>
      </c>
      <c r="F425" s="66">
        <f>_xlfn.IFNA(INDEX('hp (pSv cm2)'!$B$2:$B$52,MATCH($C425,'hp (pSv cm2)'!$A$2:$A$52,1))+($C425-INDEX('hp (pSv cm2)'!$A$2:$A$52,MATCH($C425,'hp (pSv cm2)'!$A$2:$A$52,1)))*(INDEX('hp (pSv cm2)'!$B$2:$B$52,MATCH($C425,'hp (pSv cm2)'!$A$2:$A$52,1)+1)-INDEX('hp (pSv cm2)'!$B$2:$B$52,MATCH($C425,'hp (pSv cm2)'!$A$2:$A$52,1)))/(INDEX('hp (pSv cm2)'!$A$2:$A$52,MATCH($C425,'hp (pSv cm2)'!$A$2:$A$52,1)+1)-INDEX('hp (pSv cm2)'!$A$2:$A$52,MATCH($C425,'hp (pSv cm2)'!$A$2:$A$52,1))),$C425*'hp (pSv cm2)'!$B$2/'hp (pSv cm2)'!$A$2)</f>
        <v>1.25333842</v>
      </c>
      <c r="G425" s="67">
        <f t="shared" si="32"/>
        <v>2.5217169010399998E-3</v>
      </c>
      <c r="H425" s="83">
        <f>_xlfn.IFNA(0.997*(INDEX('Mass attenuation coefficients'!$B$2:$B$37,MATCH($C425,'Mass attenuation coefficients'!$A$2:$A$37,1))+($C425-INDEX('Mass attenuation coefficients'!$A$2:$A$37,MATCH($C425,'Mass attenuation coefficients'!$A$2:$A$37,1)))*(INDEX('Mass attenuation coefficients'!$B$2:$B$37,MATCH($C425,'Mass attenuation coefficients'!$A$2:$A$37,1)+1)-INDEX('Mass attenuation coefficients'!$B$2:$B$37,MATCH($C425,'Mass attenuation coefficients'!$A$2:$A$37,1)))/(INDEX('Mass attenuation coefficients'!$A$2:$A$37,MATCH($C425,'Mass attenuation coefficients'!$A$2:$A$37,1)+1)-INDEX('Mass attenuation coefficients'!$A$2:$A$37,MATCH($C425,'Mass attenuation coefficients'!$A$2:$A$37,1)))),0.997*$C425*'Mass attenuation coefficients'!$B$2/'Mass attenuation coefficients'!$A$2)</f>
        <v>0.12747636735839998</v>
      </c>
      <c r="I425" s="83">
        <f>_xlfn.IFNA(INDEX('Shultis Faw'!$C$2:$C$26,MATCH($C425,'Shultis Faw'!$A$2:$A$26,1))+($C425-INDEX('Shultis Faw'!$A$2:$A$26,MATCH($C425,'Shultis Faw'!$A$2:$A$26,1)))*(INDEX('Shultis Faw'!$C$2:$C$26,MATCH($C425,'Shultis Faw'!$A$2:$A$26,1)+1)-INDEX('Shultis Faw'!$C$2:$C$26,MATCH($C425,'Shultis Faw'!$A$2:$A$26,1)))/(INDEX('Shultis Faw'!$A$2:$A$26,MATCH($C425,'Shultis Faw'!$A$2:$A$26,1)+1)-INDEX('Shultis Faw'!$A$2:$A$26,MATCH($C425,'Shultis Faw'!$A$2:$A$26,1))),$C425*'Shultis Faw'!$C$2/'Shultis Faw'!$A$2)</f>
        <v>3.2008179640000001</v>
      </c>
      <c r="J425" s="83">
        <f>_xlfn.IFNA(INDEX('Shultis Faw'!$D$2:$D$26,MATCH($C425,'Shultis Faw'!$A$2:$A$26,1))+($C425-INDEX('Shultis Faw'!$A$2:$A$26,MATCH($C425,'Shultis Faw'!$A$2:$A$26,1)))*(INDEX('Shultis Faw'!$D$2:$D$26,MATCH($C425,'Shultis Faw'!$A$2:$A$26,1)+1)-INDEX('Shultis Faw'!$D$2:$D$26,MATCH($C425,'Shultis Faw'!$A$2:$A$26,1)))/(INDEX('Shultis Faw'!$A$2:$A$26,MATCH($C425,'Shultis Faw'!$A$2:$A$26,1)+1)-INDEX('Shultis Faw'!$A$2:$A$26,MATCH($C425,'Shultis Faw'!$A$2:$A$26,1))),$C425*'Shultis Faw'!$D$2/'Shultis Faw'!$A$2)</f>
        <v>2.088430056</v>
      </c>
      <c r="K425" s="83">
        <f>_xlfn.IFNA(INDEX('Shultis Faw'!$B$2:$B$26,MATCH($C425,'Shultis Faw'!$A$2:$A$26,1))+($C425-INDEX('Shultis Faw'!$A$2:$A$26,MATCH($C425,'Shultis Faw'!$A$2:$A$26,1)))*(INDEX('Shultis Faw'!$B$2:$B$26,MATCH($C425,'Shultis Faw'!$A$2:$A$26,1)+1)-INDEX('Shultis Faw'!$B$2:$B$26,MATCH($C425,'Shultis Faw'!$A$2:$A$26,1)))/(INDEX('Shultis Faw'!$A$2:$A$26,MATCH($C425,'Shultis Faw'!$A$2:$A$26,1)+1)-INDEX('Shultis Faw'!$A$2:$A$26,MATCH($C425,'Shultis Faw'!$A$2:$A$26,1))),$C425*'Shultis Faw'!$B$2/'Shultis Faw'!$A$2)</f>
        <v>-0.170039096</v>
      </c>
      <c r="L425" s="83">
        <f>_xlfn.IFNA(INDEX('Shultis Faw'!$E$2:$E$26,MATCH($C425,'Shultis Faw'!$A$2:$A$26,1))+($C425-INDEX('Shultis Faw'!$A$2:$A$26,MATCH($C425,'Shultis Faw'!$A$2:$A$26,1)))*(INDEX('Shultis Faw'!$E$2:$E$26,MATCH($C425,'Shultis Faw'!$A$2:$A$26,1)+1)-INDEX('Shultis Faw'!$E$2:$E$26,MATCH($C425,'Shultis Faw'!$A$2:$A$26,1)))/(INDEX('Shultis Faw'!$A$2:$A$26,MATCH($C425,'Shultis Faw'!$A$2:$A$26,1)+1)-INDEX('Shultis Faw'!$A$2:$A$26,MATCH($C425,'Shultis Faw'!$A$2:$A$26,1))),$C425*'Shultis Faw'!$E$2/'Shultis Faw'!$A$2)</f>
        <v>7.1488770199999996E-2</v>
      </c>
      <c r="M425" s="83">
        <f>_xlfn.IFNA(INDEX('Shultis Faw'!$F$2:$F$26,MATCH($C425,'Shultis Faw'!$A$2:$A$26,1))+($C425-INDEX('Shultis Faw'!$A$2:$A$26,MATCH($C425,'Shultis Faw'!$A$2:$A$26,1)))*(INDEX('Shultis Faw'!$F$2:$F$26,MATCH($C425,'Shultis Faw'!$A$2:$A$26,1)+1)-INDEX('Shultis Faw'!$F$2:$F$26,MATCH($C425,'Shultis Faw'!$A$2:$A$26,1)))/(INDEX('Shultis Faw'!$A$2:$A$26,MATCH($C425,'Shultis Faw'!$A$2:$A$26,1)+1)-INDEX('Shultis Faw'!$A$2:$A$26,MATCH($C425,'Shultis Faw'!$A$2:$A$26,1))),$C425*'Shultis Faw'!$F$2/'Shultis Faw'!$A$2)</f>
        <v>14.355944820000001</v>
      </c>
      <c r="N425" s="83">
        <f>J425*(H425*'Externe blootstelling'!$D$23/2)^K425+L425*(TANH(((H425*'Externe blootstelling'!$D$23)/(2*M425))-2)-TANH(-2))/(1-TANH(-2))</f>
        <v>1.8708587163183719</v>
      </c>
      <c r="O425" s="83">
        <f>IF(N425=1,1+(I425-1)*H425*'Externe blootstelling'!$D$23/2,1+(I425-1)*(N425^(H425*'Externe blootstelling'!$D$23/2)-1)/(N425-1))</f>
        <v>6.8446096296407744</v>
      </c>
      <c r="P425" s="67">
        <f>G425*EXP(-H425*'Externe blootstelling'!$D$23/2)*O425</f>
        <v>2.5504145031372623E-3</v>
      </c>
      <c r="Q425" s="68"/>
    </row>
    <row r="426" spans="1:17" x14ac:dyDescent="0.2">
      <c r="A426" s="217"/>
      <c r="B426" s="64" t="s">
        <v>103</v>
      </c>
      <c r="C426" s="66">
        <v>0.32131589999999999</v>
      </c>
      <c r="D426" s="66">
        <f t="shared" si="31"/>
        <v>5.1410543999999989E-14</v>
      </c>
      <c r="E426" s="66">
        <v>2.16E-3</v>
      </c>
      <c r="F426" s="66">
        <f>_xlfn.IFNA(INDEX('hp (pSv cm2)'!$B$2:$B$52,MATCH($C426,'hp (pSv cm2)'!$A$2:$A$52,1))+($C426-INDEX('hp (pSv cm2)'!$A$2:$A$52,MATCH($C426,'hp (pSv cm2)'!$A$2:$A$52,1)))*(INDEX('hp (pSv cm2)'!$B$2:$B$52,MATCH($C426,'hp (pSv cm2)'!$A$2:$A$52,1)+1)-INDEX('hp (pSv cm2)'!$B$2:$B$52,MATCH($C426,'hp (pSv cm2)'!$A$2:$A$52,1)))/(INDEX('hp (pSv cm2)'!$A$2:$A$52,MATCH($C426,'hp (pSv cm2)'!$A$2:$A$52,1)+1)-INDEX('hp (pSv cm2)'!$A$2:$A$52,MATCH($C426,'hp (pSv cm2)'!$A$2:$A$52,1))),$C426*'hp (pSv cm2)'!$B$2/'hp (pSv cm2)'!$A$2)</f>
        <v>1.61444791</v>
      </c>
      <c r="G426" s="67">
        <f t="shared" si="32"/>
        <v>3.4872074855999999E-3</v>
      </c>
      <c r="H426" s="83">
        <f>_xlfn.IFNA(0.997*(INDEX('Mass attenuation coefficients'!$B$2:$B$37,MATCH($C426,'Mass attenuation coefficients'!$A$2:$A$37,1))+($C426-INDEX('Mass attenuation coefficients'!$A$2:$A$37,MATCH($C426,'Mass attenuation coefficients'!$A$2:$A$37,1)))*(INDEX('Mass attenuation coefficients'!$B$2:$B$37,MATCH($C426,'Mass attenuation coefficients'!$A$2:$A$37,1)+1)-INDEX('Mass attenuation coefficients'!$B$2:$B$37,MATCH($C426,'Mass attenuation coefficients'!$A$2:$A$37,1)))/(INDEX('Mass attenuation coefficients'!$A$2:$A$37,MATCH($C426,'Mass attenuation coefficients'!$A$2:$A$37,1)+1)-INDEX('Mass attenuation coefficients'!$A$2:$A$37,MATCH($C426,'Mass attenuation coefficients'!$A$2:$A$37,1)))),0.997*$C426*'Mass attenuation coefficients'!$B$2/'Mass attenuation coefficients'!$A$2)</f>
        <v>0.11558770596250001</v>
      </c>
      <c r="I426" s="83">
        <f>_xlfn.IFNA(INDEX('Shultis Faw'!$C$2:$C$26,MATCH($C426,'Shultis Faw'!$A$2:$A$26,1))+($C426-INDEX('Shultis Faw'!$A$2:$A$26,MATCH($C426,'Shultis Faw'!$A$2:$A$26,1)))*(INDEX('Shultis Faw'!$C$2:$C$26,MATCH($C426,'Shultis Faw'!$A$2:$A$26,1)+1)-INDEX('Shultis Faw'!$C$2:$C$26,MATCH($C426,'Shultis Faw'!$A$2:$A$26,1)))/(INDEX('Shultis Faw'!$A$2:$A$26,MATCH($C426,'Shultis Faw'!$A$2:$A$26,1)+1)-INDEX('Shultis Faw'!$A$2:$A$26,MATCH($C426,'Shultis Faw'!$A$2:$A$26,1))),$C426*'Shultis Faw'!$C$2/'Shultis Faw'!$A$2)</f>
        <v>2.8645786599999998</v>
      </c>
      <c r="J426" s="83">
        <f>_xlfn.IFNA(INDEX('Shultis Faw'!$D$2:$D$26,MATCH($C426,'Shultis Faw'!$A$2:$A$26,1))+($C426-INDEX('Shultis Faw'!$A$2:$A$26,MATCH($C426,'Shultis Faw'!$A$2:$A$26,1)))*(INDEX('Shultis Faw'!$D$2:$D$26,MATCH($C426,'Shultis Faw'!$A$2:$A$26,1)+1)-INDEX('Shultis Faw'!$D$2:$D$26,MATCH($C426,'Shultis Faw'!$A$2:$A$26,1)))/(INDEX('Shultis Faw'!$A$2:$A$26,MATCH($C426,'Shultis Faw'!$A$2:$A$26,1)+1)-INDEX('Shultis Faw'!$A$2:$A$26,MATCH($C426,'Shultis Faw'!$A$2:$A$26,1))),$C426*'Shultis Faw'!$D$2/'Shultis Faw'!$A$2)</f>
        <v>1.9921577399999999</v>
      </c>
      <c r="K426" s="83">
        <f>_xlfn.IFNA(INDEX('Shultis Faw'!$B$2:$B$26,MATCH($C426,'Shultis Faw'!$A$2:$A$26,1))+($C426-INDEX('Shultis Faw'!$A$2:$A$26,MATCH($C426,'Shultis Faw'!$A$2:$A$26,1)))*(INDEX('Shultis Faw'!$B$2:$B$26,MATCH($C426,'Shultis Faw'!$A$2:$A$26,1)+1)-INDEX('Shultis Faw'!$B$2:$B$26,MATCH($C426,'Shultis Faw'!$A$2:$A$26,1)))/(INDEX('Shultis Faw'!$A$2:$A$26,MATCH($C426,'Shultis Faw'!$A$2:$A$26,1)+1)-INDEX('Shultis Faw'!$A$2:$A$26,MATCH($C426,'Shultis Faw'!$A$2:$A$26,1))),$C426*'Shultis Faw'!$B$2/'Shultis Faw'!$A$2)</f>
        <v>-0.16080261500000001</v>
      </c>
      <c r="L426" s="83">
        <f>_xlfn.IFNA(INDEX('Shultis Faw'!$E$2:$E$26,MATCH($C426,'Shultis Faw'!$A$2:$A$26,1))+($C426-INDEX('Shultis Faw'!$A$2:$A$26,MATCH($C426,'Shultis Faw'!$A$2:$A$26,1)))*(INDEX('Shultis Faw'!$E$2:$E$26,MATCH($C426,'Shultis Faw'!$A$2:$A$26,1)+1)-INDEX('Shultis Faw'!$E$2:$E$26,MATCH($C426,'Shultis Faw'!$A$2:$A$26,1)))/(INDEX('Shultis Faw'!$A$2:$A$26,MATCH($C426,'Shultis Faw'!$A$2:$A$26,1)+1)-INDEX('Shultis Faw'!$A$2:$A$26,MATCH($C426,'Shultis Faw'!$A$2:$A$26,1))),$C426*'Shultis Faw'!$E$2/'Shultis Faw'!$A$2)</f>
        <v>6.4221046000000004E-2</v>
      </c>
      <c r="M426" s="83">
        <f>_xlfn.IFNA(INDEX('Shultis Faw'!$F$2:$F$26,MATCH($C426,'Shultis Faw'!$A$2:$A$26,1))+($C426-INDEX('Shultis Faw'!$A$2:$A$26,MATCH($C426,'Shultis Faw'!$A$2:$A$26,1)))*(INDEX('Shultis Faw'!$F$2:$F$26,MATCH($C426,'Shultis Faw'!$A$2:$A$26,1)+1)-INDEX('Shultis Faw'!$F$2:$F$26,MATCH($C426,'Shultis Faw'!$A$2:$A$26,1)))/(INDEX('Shultis Faw'!$A$2:$A$26,MATCH($C426,'Shultis Faw'!$A$2:$A$26,1)+1)-INDEX('Shultis Faw'!$A$2:$A$26,MATCH($C426,'Shultis Faw'!$A$2:$A$26,1))),$C426*'Shultis Faw'!$F$2/'Shultis Faw'!$A$2)</f>
        <v>14.216394770000001</v>
      </c>
      <c r="N426" s="83">
        <f>J426*(H426*'Externe blootstelling'!$D$23/2)^K426+L426*(TANH(((H426*'Externe blootstelling'!$D$23)/(2*M426))-2)-TANH(-2))/(1-TANH(-2))</f>
        <v>1.8237573103668261</v>
      </c>
      <c r="O426" s="83">
        <f>IF(N426=1,1+(I426-1)*H426*'Externe blootstelling'!$D$23/2,1+(I426-1)*(N426^(H426*'Externe blootstelling'!$D$23/2)-1)/(N426-1))</f>
        <v>5.1522854489191738</v>
      </c>
      <c r="P426" s="67">
        <f>G426*EXP(-H426*'Externe blootstelling'!$D$23/2)*O426</f>
        <v>3.1731540821447503E-3</v>
      </c>
      <c r="Q426" s="68"/>
    </row>
    <row r="427" spans="1:17" x14ac:dyDescent="0.2">
      <c r="A427" s="218"/>
      <c r="B427" s="64"/>
      <c r="C427" s="66"/>
      <c r="D427" s="66"/>
      <c r="E427" s="66"/>
      <c r="F427" s="66"/>
      <c r="G427" s="67"/>
      <c r="H427" s="83"/>
      <c r="I427" s="83"/>
      <c r="J427" s="83"/>
      <c r="K427" s="83"/>
      <c r="L427" s="83"/>
      <c r="M427" s="83"/>
      <c r="N427" s="83"/>
      <c r="O427" s="83"/>
      <c r="P427" s="67"/>
      <c r="Q427" s="67">
        <f>SUM(P416:P426)/SUM(G416:G426)</f>
        <v>1.0900683034286596</v>
      </c>
    </row>
    <row r="428" spans="1:17" s="62" customFormat="1" x14ac:dyDescent="0.2">
      <c r="A428" s="69"/>
      <c r="B428" s="70"/>
      <c r="C428" s="71"/>
      <c r="D428" s="71"/>
      <c r="E428" s="71"/>
      <c r="F428" s="71"/>
      <c r="G428" s="73"/>
      <c r="H428" s="84"/>
      <c r="I428" s="84"/>
      <c r="J428" s="84"/>
      <c r="K428" s="84"/>
      <c r="L428" s="84"/>
      <c r="M428" s="84"/>
      <c r="N428" s="84"/>
      <c r="O428" s="84"/>
      <c r="P428" s="73"/>
      <c r="Q428" s="73"/>
    </row>
    <row r="429" spans="1:17" x14ac:dyDescent="0.2">
      <c r="A429" s="216" t="s">
        <v>148</v>
      </c>
      <c r="B429" s="77"/>
      <c r="C429" s="66">
        <v>5.5149999999999998E-2</v>
      </c>
      <c r="D429" s="66">
        <f t="shared" ref="D429:D476" si="33">C429*1000000*1.6E-19</f>
        <v>8.8239999999999998E-15</v>
      </c>
      <c r="E429" s="66">
        <v>1.78E-2</v>
      </c>
      <c r="F429" s="66">
        <f>_xlfn.IFNA(INDEX('hp (pSv cm2)'!$B$2:$B$52,MATCH($C429,'hp (pSv cm2)'!$A$2:$A$52,1))+($C429-INDEX('hp (pSv cm2)'!$A$2:$A$52,MATCH($C429,'hp (pSv cm2)'!$A$2:$A$52,1)))*(INDEX('hp (pSv cm2)'!$B$2:$B$52,MATCH($C429,'hp (pSv cm2)'!$A$2:$A$52,1)+1)-INDEX('hp (pSv cm2)'!$B$2:$B$52,MATCH($C429,'hp (pSv cm2)'!$A$2:$A$52,1)))/(INDEX('hp (pSv cm2)'!$A$2:$A$52,MATCH($C429,'hp (pSv cm2)'!$A$2:$A$52,1)+1)-INDEX('hp (pSv cm2)'!$A$2:$A$52,MATCH($C429,'hp (pSv cm2)'!$A$2:$A$52,1))),$C429*'hp (pSv cm2)'!$B$2/'hp (pSv cm2)'!$A$2)</f>
        <v>0.37929999999999997</v>
      </c>
      <c r="G429" s="67">
        <f t="shared" ref="G429:G476" si="34">F429*E429</f>
        <v>6.7515399999999995E-3</v>
      </c>
      <c r="H429" s="83">
        <f>_xlfn.IFNA(0.997*(INDEX('Mass attenuation coefficients'!$B$2:$B$37,MATCH($C429,'Mass attenuation coefficients'!$A$2:$A$37,1))+($C429-INDEX('Mass attenuation coefficients'!$A$2:$A$37,MATCH($C429,'Mass attenuation coefficients'!$A$2:$A$37,1)))*(INDEX('Mass attenuation coefficients'!$B$2:$B$37,MATCH($C429,'Mass attenuation coefficients'!$A$2:$A$37,1)+1)-INDEX('Mass attenuation coefficients'!$B$2:$B$37,MATCH($C429,'Mass attenuation coefficients'!$A$2:$A$37,1)))/(INDEX('Mass attenuation coefficients'!$A$2:$A$37,MATCH($C429,'Mass attenuation coefficients'!$A$2:$A$37,1)+1)-INDEX('Mass attenuation coefficients'!$A$2:$A$37,MATCH($C429,'Mass attenuation coefficients'!$A$2:$A$37,1)))),0.997*$C429*'Mass attenuation coefficients'!$B$2/'Mass attenuation coefficients'!$A$2)</f>
        <v>0.21543674499999999</v>
      </c>
      <c r="I429" s="83">
        <f>_xlfn.IFNA(INDEX('Shultis Faw'!$C$2:$C$26,MATCH($C429,'Shultis Faw'!$A$2:$A$26,1))+($C429-INDEX('Shultis Faw'!$A$2:$A$26,MATCH($C429,'Shultis Faw'!$A$2:$A$26,1)))*(INDEX('Shultis Faw'!$C$2:$C$26,MATCH($C429,'Shultis Faw'!$A$2:$A$26,1)+1)-INDEX('Shultis Faw'!$C$2:$C$26,MATCH($C429,'Shultis Faw'!$A$2:$A$26,1)))/(INDEX('Shultis Faw'!$A$2:$A$26,MATCH($C429,'Shultis Faw'!$A$2:$A$26,1)+1)-INDEX('Shultis Faw'!$A$2:$A$26,MATCH($C429,'Shultis Faw'!$A$2:$A$26,1))),$C429*'Shultis Faw'!$C$2/'Shultis Faw'!$A$2)</f>
        <v>4.7298299999999998</v>
      </c>
      <c r="J429" s="83">
        <f>_xlfn.IFNA(INDEX('Shultis Faw'!$D$2:$D$26,MATCH($C429,'Shultis Faw'!$A$2:$A$26,1))+($C429-INDEX('Shultis Faw'!$A$2:$A$26,MATCH($C429,'Shultis Faw'!$A$2:$A$26,1)))*(INDEX('Shultis Faw'!$D$2:$D$26,MATCH($C429,'Shultis Faw'!$A$2:$A$26,1)+1)-INDEX('Shultis Faw'!$D$2:$D$26,MATCH($C429,'Shultis Faw'!$A$2:$A$26,1)))/(INDEX('Shultis Faw'!$A$2:$A$26,MATCH($C429,'Shultis Faw'!$A$2:$A$26,1)+1)-INDEX('Shultis Faw'!$A$2:$A$26,MATCH($C429,'Shultis Faw'!$A$2:$A$26,1))),$C429*'Shultis Faw'!$D$2/'Shultis Faw'!$A$2)</f>
        <v>1.5975949999999999</v>
      </c>
      <c r="K429" s="83">
        <f>_xlfn.IFNA(INDEX('Shultis Faw'!$B$2:$B$26,MATCH($C429,'Shultis Faw'!$A$2:$A$26,1))+($C429-INDEX('Shultis Faw'!$A$2:$A$26,MATCH($C429,'Shultis Faw'!$A$2:$A$26,1)))*(INDEX('Shultis Faw'!$B$2:$B$26,MATCH($C429,'Shultis Faw'!$A$2:$A$26,1)+1)-INDEX('Shultis Faw'!$B$2:$B$26,MATCH($C429,'Shultis Faw'!$A$2:$A$26,1)))/(INDEX('Shultis Faw'!$A$2:$A$26,MATCH($C429,'Shultis Faw'!$A$2:$A$26,1)+1)-INDEX('Shultis Faw'!$A$2:$A$26,MATCH($C429,'Shultis Faw'!$A$2:$A$26,1))),$C429*'Shultis Faw'!$B$2/'Shultis Faw'!$A$2)</f>
        <v>-0.10562999999999999</v>
      </c>
      <c r="L429" s="83">
        <f>_xlfn.IFNA(INDEX('Shultis Faw'!$E$2:$E$26,MATCH($C429,'Shultis Faw'!$A$2:$A$26,1))+($C429-INDEX('Shultis Faw'!$A$2:$A$26,MATCH($C429,'Shultis Faw'!$A$2:$A$26,1)))*(INDEX('Shultis Faw'!$E$2:$E$26,MATCH($C429,'Shultis Faw'!$A$2:$A$26,1)+1)-INDEX('Shultis Faw'!$E$2:$E$26,MATCH($C429,'Shultis Faw'!$A$2:$A$26,1)))/(INDEX('Shultis Faw'!$A$2:$A$26,MATCH($C429,'Shultis Faw'!$A$2:$A$26,1)+1)-INDEX('Shultis Faw'!$A$2:$A$26,MATCH($C429,'Shultis Faw'!$A$2:$A$26,1))),$C429*'Shultis Faw'!$E$2/'Shultis Faw'!$A$2)</f>
        <v>4.5429999999999991E-2</v>
      </c>
      <c r="M429" s="83">
        <f>_xlfn.IFNA(INDEX('Shultis Faw'!$F$2:$F$26,MATCH($C429,'Shultis Faw'!$A$2:$A$26,1))+($C429-INDEX('Shultis Faw'!$A$2:$A$26,MATCH($C429,'Shultis Faw'!$A$2:$A$26,1)))*(INDEX('Shultis Faw'!$F$2:$F$26,MATCH($C429,'Shultis Faw'!$A$2:$A$26,1)+1)-INDEX('Shultis Faw'!$F$2:$F$26,MATCH($C429,'Shultis Faw'!$A$2:$A$26,1)))/(INDEX('Shultis Faw'!$A$2:$A$26,MATCH($C429,'Shultis Faw'!$A$2:$A$26,1)+1)-INDEX('Shultis Faw'!$A$2:$A$26,MATCH($C429,'Shultis Faw'!$A$2:$A$26,1))),$C429*'Shultis Faw'!$F$2/'Shultis Faw'!$A$2)</f>
        <v>13.6303</v>
      </c>
      <c r="N429" s="83">
        <f>J429*(H429*'Externe blootstelling'!$D$23/2)^K429+L429*(TANH(((H429*'Externe blootstelling'!$D$23)/(2*M429))-2)-TANH(-2))/(1-TANH(-2))</f>
        <v>1.4119147247782666</v>
      </c>
      <c r="O429" s="83">
        <f>IF(N429=1,1+(I429-1)*H429*'Externe blootstelling'!$D$23/2,1+(I429-1)*(N429^(H429*'Externe blootstelling'!$D$23/2)-1)/(N429-1))</f>
        <v>19.550629736401572</v>
      </c>
      <c r="P429" s="67">
        <f>G429*EXP(-H429*'Externe blootstelling'!$D$23/2)*O429</f>
        <v>5.2133724494064799E-3</v>
      </c>
      <c r="Q429" s="68"/>
    </row>
    <row r="430" spans="1:17" x14ac:dyDescent="0.2">
      <c r="A430" s="217"/>
      <c r="B430" s="77"/>
      <c r="C430" s="66">
        <v>6.9199999999999998E-2</v>
      </c>
      <c r="D430" s="66">
        <f t="shared" si="33"/>
        <v>1.1072E-14</v>
      </c>
      <c r="E430" s="66">
        <v>1E-3</v>
      </c>
      <c r="F430" s="66">
        <f>_xlfn.IFNA(INDEX('hp (pSv cm2)'!$B$2:$B$52,MATCH($C430,'hp (pSv cm2)'!$A$2:$A$52,1))+($C430-INDEX('hp (pSv cm2)'!$A$2:$A$52,MATCH($C430,'hp (pSv cm2)'!$A$2:$A$52,1)))*(INDEX('hp (pSv cm2)'!$B$2:$B$52,MATCH($C430,'hp (pSv cm2)'!$A$2:$A$52,1)+1)-INDEX('hp (pSv cm2)'!$B$2:$B$52,MATCH($C430,'hp (pSv cm2)'!$A$2:$A$52,1)))/(INDEX('hp (pSv cm2)'!$A$2:$A$52,MATCH($C430,'hp (pSv cm2)'!$A$2:$A$52,1)+1)-INDEX('hp (pSv cm2)'!$A$2:$A$52,MATCH($C430,'hp (pSv cm2)'!$A$2:$A$52,1))),$C430*'hp (pSv cm2)'!$B$2/'hp (pSv cm2)'!$A$2)</f>
        <v>0.40923999999999994</v>
      </c>
      <c r="G430" s="67">
        <f t="shared" si="34"/>
        <v>4.0923999999999995E-4</v>
      </c>
      <c r="H430" s="83">
        <f>_xlfn.IFNA(0.997*(INDEX('Mass attenuation coefficients'!$B$2:$B$37,MATCH($C430,'Mass attenuation coefficients'!$A$2:$A$37,1))+($C430-INDEX('Mass attenuation coefficients'!$A$2:$A$37,MATCH($C430,'Mass attenuation coefficients'!$A$2:$A$37,1)))*(INDEX('Mass attenuation coefficients'!$B$2:$B$37,MATCH($C430,'Mass attenuation coefficients'!$A$2:$A$37,1)+1)-INDEX('Mass attenuation coefficients'!$B$2:$B$37,MATCH($C430,'Mass attenuation coefficients'!$A$2:$A$37,1)))/(INDEX('Mass attenuation coefficients'!$A$2:$A$37,MATCH($C430,'Mass attenuation coefficients'!$A$2:$A$37,1)+1)-INDEX('Mass attenuation coefficients'!$A$2:$A$37,MATCH($C430,'Mass attenuation coefficients'!$A$2:$A$37,1)))),0.997*$C430*'Mass attenuation coefficients'!$B$2/'Mass attenuation coefficients'!$A$2)</f>
        <v>0.195100936</v>
      </c>
      <c r="I430" s="83">
        <f>_xlfn.IFNA(INDEX('Shultis Faw'!$C$2:$C$26,MATCH($C430,'Shultis Faw'!$A$2:$A$26,1))+($C430-INDEX('Shultis Faw'!$A$2:$A$26,MATCH($C430,'Shultis Faw'!$A$2:$A$26,1)))*(INDEX('Shultis Faw'!$C$2:$C$26,MATCH($C430,'Shultis Faw'!$A$2:$A$26,1)+1)-INDEX('Shultis Faw'!$C$2:$C$26,MATCH($C430,'Shultis Faw'!$A$2:$A$26,1)))/(INDEX('Shultis Faw'!$A$2:$A$26,MATCH($C430,'Shultis Faw'!$A$2:$A$26,1)+1)-INDEX('Shultis Faw'!$A$2:$A$26,MATCH($C430,'Shultis Faw'!$A$2:$A$26,1))),$C430*'Shultis Faw'!$C$2/'Shultis Faw'!$A$2)</f>
        <v>5.0179599999999995</v>
      </c>
      <c r="J430" s="83">
        <f>_xlfn.IFNA(INDEX('Shultis Faw'!$D$2:$D$26,MATCH($C430,'Shultis Faw'!$A$2:$A$26,1))+($C430-INDEX('Shultis Faw'!$A$2:$A$26,MATCH($C430,'Shultis Faw'!$A$2:$A$26,1)))*(INDEX('Shultis Faw'!$D$2:$D$26,MATCH($C430,'Shultis Faw'!$A$2:$A$26,1)+1)-INDEX('Shultis Faw'!$D$2:$D$26,MATCH($C430,'Shultis Faw'!$A$2:$A$26,1)))/(INDEX('Shultis Faw'!$A$2:$A$26,MATCH($C430,'Shultis Faw'!$A$2:$A$26,1)+1)-INDEX('Shultis Faw'!$A$2:$A$26,MATCH($C430,'Shultis Faw'!$A$2:$A$26,1))),$C430*'Shultis Faw'!$D$2/'Shultis Faw'!$A$2)</f>
        <v>1.88134</v>
      </c>
      <c r="K430" s="83">
        <f>_xlfn.IFNA(INDEX('Shultis Faw'!$B$2:$B$26,MATCH($C430,'Shultis Faw'!$A$2:$A$26,1))+($C430-INDEX('Shultis Faw'!$A$2:$A$26,MATCH($C430,'Shultis Faw'!$A$2:$A$26,1)))*(INDEX('Shultis Faw'!$B$2:$B$26,MATCH($C430,'Shultis Faw'!$A$2:$A$26,1)+1)-INDEX('Shultis Faw'!$B$2:$B$26,MATCH($C430,'Shultis Faw'!$A$2:$A$26,1)))/(INDEX('Shultis Faw'!$A$2:$A$26,MATCH($C430,'Shultis Faw'!$A$2:$A$26,1)+1)-INDEX('Shultis Faw'!$A$2:$A$26,MATCH($C430,'Shultis Faw'!$A$2:$A$26,1))),$C430*'Shultis Faw'!$B$2/'Shultis Faw'!$A$2)</f>
        <v>-0.14532</v>
      </c>
      <c r="L430" s="83">
        <f>_xlfn.IFNA(INDEX('Shultis Faw'!$E$2:$E$26,MATCH($C430,'Shultis Faw'!$A$2:$A$26,1))+($C430-INDEX('Shultis Faw'!$A$2:$A$26,MATCH($C430,'Shultis Faw'!$A$2:$A$26,1)))*(INDEX('Shultis Faw'!$E$2:$E$26,MATCH($C430,'Shultis Faw'!$A$2:$A$26,1)+1)-INDEX('Shultis Faw'!$E$2:$E$26,MATCH($C430,'Shultis Faw'!$A$2:$A$26,1)))/(INDEX('Shultis Faw'!$A$2:$A$26,MATCH($C430,'Shultis Faw'!$A$2:$A$26,1)+1)-INDEX('Shultis Faw'!$A$2:$A$26,MATCH($C430,'Shultis Faw'!$A$2:$A$26,1))),$C430*'Shultis Faw'!$E$2/'Shultis Faw'!$A$2)</f>
        <v>6.5713999999999995E-2</v>
      </c>
      <c r="M430" s="83">
        <f>_xlfn.IFNA(INDEX('Shultis Faw'!$F$2:$F$26,MATCH($C430,'Shultis Faw'!$A$2:$A$26,1))+($C430-INDEX('Shultis Faw'!$A$2:$A$26,MATCH($C430,'Shultis Faw'!$A$2:$A$26,1)))*(INDEX('Shultis Faw'!$F$2:$F$26,MATCH($C430,'Shultis Faw'!$A$2:$A$26,1)+1)-INDEX('Shultis Faw'!$F$2:$F$26,MATCH($C430,'Shultis Faw'!$A$2:$A$26,1)))/(INDEX('Shultis Faw'!$A$2:$A$26,MATCH($C430,'Shultis Faw'!$A$2:$A$26,1)+1)-INDEX('Shultis Faw'!$A$2:$A$26,MATCH($C430,'Shultis Faw'!$A$2:$A$26,1))),$C430*'Shultis Faw'!$F$2/'Shultis Faw'!$A$2)</f>
        <v>13.6538</v>
      </c>
      <c r="N430" s="83">
        <f>J430*(H430*'Externe blootstelling'!$D$23/2)^K430+L430*(TANH(((H430*'Externe blootstelling'!$D$23)/(2*M430))-2)-TANH(-2))/(1-TANH(-2))</f>
        <v>1.6101496856336939</v>
      </c>
      <c r="O430" s="83">
        <f>IF(N430=1,1+(I430-1)*H430*'Externe blootstelling'!$D$23/2,1+(I430-1)*(N430^(H430*'Externe blootstelling'!$D$23/2)-1)/(N430-1))</f>
        <v>20.958786345636117</v>
      </c>
      <c r="P430" s="67">
        <f>G430*EXP(-H430*'Externe blootstelling'!$D$23/2)*O430</f>
        <v>4.5959501311678487E-4</v>
      </c>
      <c r="Q430" s="68"/>
    </row>
    <row r="431" spans="1:17" x14ac:dyDescent="0.2">
      <c r="A431" s="217"/>
      <c r="B431" s="77"/>
      <c r="C431" s="66">
        <v>7.1646000000000001E-2</v>
      </c>
      <c r="D431" s="66">
        <f t="shared" si="33"/>
        <v>1.1463359999999999E-14</v>
      </c>
      <c r="E431" s="66">
        <v>8.9999999999999993E-3</v>
      </c>
      <c r="F431" s="66">
        <f>_xlfn.IFNA(INDEX('hp (pSv cm2)'!$B$2:$B$52,MATCH($C431,'hp (pSv cm2)'!$A$2:$A$52,1))+($C431-INDEX('hp (pSv cm2)'!$A$2:$A$52,MATCH($C431,'hp (pSv cm2)'!$A$2:$A$52,1)))*(INDEX('hp (pSv cm2)'!$B$2:$B$52,MATCH($C431,'hp (pSv cm2)'!$A$2:$A$52,1)+1)-INDEX('hp (pSv cm2)'!$B$2:$B$52,MATCH($C431,'hp (pSv cm2)'!$A$2:$A$52,1)))/(INDEX('hp (pSv cm2)'!$A$2:$A$52,MATCH($C431,'hp (pSv cm2)'!$A$2:$A$52,1)+1)-INDEX('hp (pSv cm2)'!$A$2:$A$52,MATCH($C431,'hp (pSv cm2)'!$A$2:$A$52,1))),$C431*'hp (pSv cm2)'!$B$2/'hp (pSv cm2)'!$A$2)</f>
        <v>0.41626719999999995</v>
      </c>
      <c r="G431" s="67">
        <f t="shared" si="34"/>
        <v>3.7464047999999995E-3</v>
      </c>
      <c r="H431" s="83">
        <f>_xlfn.IFNA(0.997*(INDEX('Mass attenuation coefficients'!$B$2:$B$37,MATCH($C431,'Mass attenuation coefficients'!$A$2:$A$37,1))+($C431-INDEX('Mass attenuation coefficients'!$A$2:$A$37,MATCH($C431,'Mass attenuation coefficients'!$A$2:$A$37,1)))*(INDEX('Mass attenuation coefficients'!$B$2:$B$37,MATCH($C431,'Mass attenuation coefficients'!$A$2:$A$37,1)+1)-INDEX('Mass attenuation coefficients'!$B$2:$B$37,MATCH($C431,'Mass attenuation coefficients'!$A$2:$A$37,1)))/(INDEX('Mass attenuation coefficients'!$A$2:$A$37,MATCH($C431,'Mass attenuation coefficients'!$A$2:$A$37,1)+1)-INDEX('Mass attenuation coefficients'!$A$2:$A$37,MATCH($C431,'Mass attenuation coefficients'!$A$2:$A$37,1)))),0.997*$C431*'Mass attenuation coefficients'!$B$2/'Mass attenuation coefficients'!$A$2)</f>
        <v>0.19239402118000001</v>
      </c>
      <c r="I431" s="83">
        <f>_xlfn.IFNA(INDEX('Shultis Faw'!$C$2:$C$26,MATCH($C431,'Shultis Faw'!$A$2:$A$26,1))+($C431-INDEX('Shultis Faw'!$A$2:$A$26,MATCH($C431,'Shultis Faw'!$A$2:$A$26,1)))*(INDEX('Shultis Faw'!$C$2:$C$26,MATCH($C431,'Shultis Faw'!$A$2:$A$26,1)+1)-INDEX('Shultis Faw'!$C$2:$C$26,MATCH($C431,'Shultis Faw'!$A$2:$A$26,1)))/(INDEX('Shultis Faw'!$A$2:$A$26,MATCH($C431,'Shultis Faw'!$A$2:$A$26,1)+1)-INDEX('Shultis Faw'!$A$2:$A$26,MATCH($C431,'Shultis Faw'!$A$2:$A$26,1))),$C431*'Shultis Faw'!$C$2/'Shultis Faw'!$A$2)</f>
        <v>5.0272547999999997</v>
      </c>
      <c r="J431" s="83">
        <f>_xlfn.IFNA(INDEX('Shultis Faw'!$D$2:$D$26,MATCH($C431,'Shultis Faw'!$A$2:$A$26,1))+($C431-INDEX('Shultis Faw'!$A$2:$A$26,MATCH($C431,'Shultis Faw'!$A$2:$A$26,1)))*(INDEX('Shultis Faw'!$D$2:$D$26,MATCH($C431,'Shultis Faw'!$A$2:$A$26,1)+1)-INDEX('Shultis Faw'!$D$2:$D$26,MATCH($C431,'Shultis Faw'!$A$2:$A$26,1)))/(INDEX('Shultis Faw'!$A$2:$A$26,MATCH($C431,'Shultis Faw'!$A$2:$A$26,1)+1)-INDEX('Shultis Faw'!$A$2:$A$26,MATCH($C431,'Shultis Faw'!$A$2:$A$26,1))),$C431*'Shultis Faw'!$D$2/'Shultis Faw'!$A$2)</f>
        <v>1.9215767000000001</v>
      </c>
      <c r="K431" s="83">
        <f>_xlfn.IFNA(INDEX('Shultis Faw'!$B$2:$B$26,MATCH($C431,'Shultis Faw'!$A$2:$A$26,1))+($C431-INDEX('Shultis Faw'!$A$2:$A$26,MATCH($C431,'Shultis Faw'!$A$2:$A$26,1)))*(INDEX('Shultis Faw'!$B$2:$B$26,MATCH($C431,'Shultis Faw'!$A$2:$A$26,1)+1)-INDEX('Shultis Faw'!$B$2:$B$26,MATCH($C431,'Shultis Faw'!$A$2:$A$26,1)))/(INDEX('Shultis Faw'!$A$2:$A$26,MATCH($C431,'Shultis Faw'!$A$2:$A$26,1)+1)-INDEX('Shultis Faw'!$A$2:$A$26,MATCH($C431,'Shultis Faw'!$A$2:$A$26,1))),$C431*'Shultis Faw'!$B$2/'Shultis Faw'!$A$2)</f>
        <v>-0.1504566</v>
      </c>
      <c r="L431" s="83">
        <f>_xlfn.IFNA(INDEX('Shultis Faw'!$E$2:$E$26,MATCH($C431,'Shultis Faw'!$A$2:$A$26,1))+($C431-INDEX('Shultis Faw'!$A$2:$A$26,MATCH($C431,'Shultis Faw'!$A$2:$A$26,1)))*(INDEX('Shultis Faw'!$E$2:$E$26,MATCH($C431,'Shultis Faw'!$A$2:$A$26,1)+1)-INDEX('Shultis Faw'!$E$2:$E$26,MATCH($C431,'Shultis Faw'!$A$2:$A$26,1)))/(INDEX('Shultis Faw'!$A$2:$A$26,MATCH($C431,'Shultis Faw'!$A$2:$A$26,1)+1)-INDEX('Shultis Faw'!$A$2:$A$26,MATCH($C431,'Shultis Faw'!$A$2:$A$26,1))),$C431*'Shultis Faw'!$E$2/'Shultis Faw'!$A$2)</f>
        <v>6.8270070000000002E-2</v>
      </c>
      <c r="M431" s="83">
        <f>_xlfn.IFNA(INDEX('Shultis Faw'!$F$2:$F$26,MATCH($C431,'Shultis Faw'!$A$2:$A$26,1))+($C431-INDEX('Shultis Faw'!$A$2:$A$26,MATCH($C431,'Shultis Faw'!$A$2:$A$26,1)))*(INDEX('Shultis Faw'!$F$2:$F$26,MATCH($C431,'Shultis Faw'!$A$2:$A$26,1)+1)-INDEX('Shultis Faw'!$F$2:$F$26,MATCH($C431,'Shultis Faw'!$A$2:$A$26,1)))/(INDEX('Shultis Faw'!$A$2:$A$26,MATCH($C431,'Shultis Faw'!$A$2:$A$26,1)+1)-INDEX('Shultis Faw'!$A$2:$A$26,MATCH($C431,'Shultis Faw'!$A$2:$A$26,1))),$C431*'Shultis Faw'!$F$2/'Shultis Faw'!$A$2)</f>
        <v>13.657469000000001</v>
      </c>
      <c r="N431" s="83">
        <f>J431*(H431*'Externe blootstelling'!$D$23/2)^K431+L431*(TANH(((H431*'Externe blootstelling'!$D$23)/(2*M431))-2)-TANH(-2))/(1-TANH(-2))</f>
        <v>1.6389839124540295</v>
      </c>
      <c r="O431" s="83">
        <f>IF(N431=1,1+(I431-1)*H431*'Externe blootstelling'!$D$23/2,1+(I431-1)*(N431^(H431*'Externe blootstelling'!$D$23/2)-1)/(N431-1))</f>
        <v>20.925246454536566</v>
      </c>
      <c r="P431" s="67">
        <f>G431*EXP(-H431*'Externe blootstelling'!$D$23/2)*O431</f>
        <v>4.3747209578696451E-3</v>
      </c>
      <c r="Q431" s="68"/>
    </row>
    <row r="432" spans="1:17" x14ac:dyDescent="0.2">
      <c r="A432" s="217"/>
      <c r="B432" s="77"/>
      <c r="C432" s="66">
        <v>8.8400000000000006E-2</v>
      </c>
      <c r="D432" s="66">
        <f t="shared" si="33"/>
        <v>1.4143999999999999E-14</v>
      </c>
      <c r="E432" s="66">
        <v>3.6999999999999999E-4</v>
      </c>
      <c r="F432" s="66">
        <f>_xlfn.IFNA(INDEX('hp (pSv cm2)'!$B$2:$B$52,MATCH($C432,'hp (pSv cm2)'!$A$2:$A$52,1))+($C432-INDEX('hp (pSv cm2)'!$A$2:$A$52,MATCH($C432,'hp (pSv cm2)'!$A$2:$A$52,1)))*(INDEX('hp (pSv cm2)'!$B$2:$B$52,MATCH($C432,'hp (pSv cm2)'!$A$2:$A$52,1)+1)-INDEX('hp (pSv cm2)'!$B$2:$B$52,MATCH($C432,'hp (pSv cm2)'!$A$2:$A$52,1)))/(INDEX('hp (pSv cm2)'!$A$2:$A$52,MATCH($C432,'hp (pSv cm2)'!$A$2:$A$52,1)+1)-INDEX('hp (pSv cm2)'!$A$2:$A$52,MATCH($C432,'hp (pSv cm2)'!$A$2:$A$52,1))),$C432*'hp (pSv cm2)'!$B$2/'hp (pSv cm2)'!$A$2)</f>
        <v>0.47450000000000003</v>
      </c>
      <c r="G432" s="67">
        <f t="shared" si="34"/>
        <v>1.75565E-4</v>
      </c>
      <c r="H432" s="83">
        <f>_xlfn.IFNA(0.997*(INDEX('Mass attenuation coefficients'!$B$2:$B$37,MATCH($C432,'Mass attenuation coefficients'!$A$2:$A$37,1))+($C432-INDEX('Mass attenuation coefficients'!$A$2:$A$37,MATCH($C432,'Mass attenuation coefficients'!$A$2:$A$37,1)))*(INDEX('Mass attenuation coefficients'!$B$2:$B$37,MATCH($C432,'Mass attenuation coefficients'!$A$2:$A$37,1)+1)-INDEX('Mass attenuation coefficients'!$B$2:$B$37,MATCH($C432,'Mass attenuation coefficients'!$A$2:$A$37,1)))/(INDEX('Mass attenuation coefficients'!$A$2:$A$37,MATCH($C432,'Mass attenuation coefficients'!$A$2:$A$37,1)+1)-INDEX('Mass attenuation coefficients'!$A$2:$A$37,MATCH($C432,'Mass attenuation coefficients'!$A$2:$A$37,1)))),0.997*$C432*'Mass attenuation coefficients'!$B$2/'Mass attenuation coefficients'!$A$2)</f>
        <v>0.17770527999999999</v>
      </c>
      <c r="I432" s="83">
        <f>_xlfn.IFNA(INDEX('Shultis Faw'!$C$2:$C$26,MATCH($C432,'Shultis Faw'!$A$2:$A$26,1))+($C432-INDEX('Shultis Faw'!$A$2:$A$26,MATCH($C432,'Shultis Faw'!$A$2:$A$26,1)))*(INDEX('Shultis Faw'!$C$2:$C$26,MATCH($C432,'Shultis Faw'!$A$2:$A$26,1)+1)-INDEX('Shultis Faw'!$C$2:$C$26,MATCH($C432,'Shultis Faw'!$A$2:$A$26,1)))/(INDEX('Shultis Faw'!$A$2:$A$26,MATCH($C432,'Shultis Faw'!$A$2:$A$26,1)+1)-INDEX('Shultis Faw'!$A$2:$A$26,MATCH($C432,'Shultis Faw'!$A$2:$A$26,1))),$C432*'Shultis Faw'!$C$2/'Shultis Faw'!$A$2)</f>
        <v>4.8926800000000004</v>
      </c>
      <c r="J432" s="83">
        <f>_xlfn.IFNA(INDEX('Shultis Faw'!$D$2:$D$26,MATCH($C432,'Shultis Faw'!$A$2:$A$26,1))+($C432-INDEX('Shultis Faw'!$A$2:$A$26,MATCH($C432,'Shultis Faw'!$A$2:$A$26,1)))*(INDEX('Shultis Faw'!$D$2:$D$26,MATCH($C432,'Shultis Faw'!$A$2:$A$26,1)+1)-INDEX('Shultis Faw'!$D$2:$D$26,MATCH($C432,'Shultis Faw'!$A$2:$A$26,1)))/(INDEX('Shultis Faw'!$A$2:$A$26,MATCH($C432,'Shultis Faw'!$A$2:$A$26,1)+1)-INDEX('Shultis Faw'!$A$2:$A$26,MATCH($C432,'Shultis Faw'!$A$2:$A$26,1))),$C432*'Shultis Faw'!$D$2/'Shultis Faw'!$A$2)</f>
        <v>2.12704</v>
      </c>
      <c r="K432" s="83">
        <f>_xlfn.IFNA(INDEX('Shultis Faw'!$B$2:$B$26,MATCH($C432,'Shultis Faw'!$A$2:$A$26,1))+($C432-INDEX('Shultis Faw'!$A$2:$A$26,MATCH($C432,'Shultis Faw'!$A$2:$A$26,1)))*(INDEX('Shultis Faw'!$B$2:$B$26,MATCH($C432,'Shultis Faw'!$A$2:$A$26,1)+1)-INDEX('Shultis Faw'!$B$2:$B$26,MATCH($C432,'Shultis Faw'!$A$2:$A$26,1)))/(INDEX('Shultis Faw'!$A$2:$A$26,MATCH($C432,'Shultis Faw'!$A$2:$A$26,1)+1)-INDEX('Shultis Faw'!$A$2:$A$26,MATCH($C432,'Shultis Faw'!$A$2:$A$26,1))),$C432*'Shultis Faw'!$B$2/'Shultis Faw'!$A$2)</f>
        <v>-0.17556000000000002</v>
      </c>
      <c r="L432" s="83">
        <f>_xlfn.IFNA(INDEX('Shultis Faw'!$E$2:$E$26,MATCH($C432,'Shultis Faw'!$A$2:$A$26,1))+($C432-INDEX('Shultis Faw'!$A$2:$A$26,MATCH($C432,'Shultis Faw'!$A$2:$A$26,1)))*(INDEX('Shultis Faw'!$E$2:$E$26,MATCH($C432,'Shultis Faw'!$A$2:$A$26,1)+1)-INDEX('Shultis Faw'!$E$2:$E$26,MATCH($C432,'Shultis Faw'!$A$2:$A$26,1)))/(INDEX('Shultis Faw'!$A$2:$A$26,MATCH($C432,'Shultis Faw'!$A$2:$A$26,1)+1)-INDEX('Shultis Faw'!$A$2:$A$26,MATCH($C432,'Shultis Faw'!$A$2:$A$26,1))),$C432*'Shultis Faw'!$E$2/'Shultis Faw'!$A$2)</f>
        <v>7.9352000000000006E-2</v>
      </c>
      <c r="M432" s="83">
        <f>_xlfn.IFNA(INDEX('Shultis Faw'!$F$2:$F$26,MATCH($C432,'Shultis Faw'!$A$2:$A$26,1))+($C432-INDEX('Shultis Faw'!$A$2:$A$26,MATCH($C432,'Shultis Faw'!$A$2:$A$26,1)))*(INDEX('Shultis Faw'!$F$2:$F$26,MATCH($C432,'Shultis Faw'!$A$2:$A$26,1)+1)-INDEX('Shultis Faw'!$F$2:$F$26,MATCH($C432,'Shultis Faw'!$A$2:$A$26,1)))/(INDEX('Shultis Faw'!$A$2:$A$26,MATCH($C432,'Shultis Faw'!$A$2:$A$26,1)+1)-INDEX('Shultis Faw'!$A$2:$A$26,MATCH($C432,'Shultis Faw'!$A$2:$A$26,1))),$C432*'Shultis Faw'!$F$2/'Shultis Faw'!$A$2)</f>
        <v>13.527200000000001</v>
      </c>
      <c r="N432" s="83">
        <f>J432*(H432*'Externe blootstelling'!$D$23/2)^K432+L432*(TANH(((H432*'Externe blootstelling'!$D$23)/(2*M432))-2)-TANH(-2))/(1-TANH(-2))</f>
        <v>1.7913870149804372</v>
      </c>
      <c r="O432" s="83">
        <f>IF(N432=1,1+(I432-1)*H432*'Externe blootstelling'!$D$23/2,1+(I432-1)*(N432^(H432*'Externe blootstelling'!$D$23/2)-1)/(N432-1))</f>
        <v>19.349042174519035</v>
      </c>
      <c r="P432" s="67">
        <f>G432*EXP(-H432*'Externe blootstelling'!$D$23/2)*O432</f>
        <v>2.3629311874622674E-4</v>
      </c>
      <c r="Q432" s="68"/>
    </row>
    <row r="433" spans="1:17" x14ac:dyDescent="0.2">
      <c r="A433" s="217"/>
      <c r="B433" s="77"/>
      <c r="C433" s="66">
        <v>0.10535949999999999</v>
      </c>
      <c r="D433" s="66">
        <f t="shared" si="33"/>
        <v>1.6857519999999999E-14</v>
      </c>
      <c r="E433" s="66">
        <v>0.1234</v>
      </c>
      <c r="F433" s="66">
        <f>_xlfn.IFNA(INDEX('hp (pSv cm2)'!$B$2:$B$52,MATCH($C433,'hp (pSv cm2)'!$A$2:$A$52,1))+($C433-INDEX('hp (pSv cm2)'!$A$2:$A$52,MATCH($C433,'hp (pSv cm2)'!$A$2:$A$52,1)))*(INDEX('hp (pSv cm2)'!$B$2:$B$52,MATCH($C433,'hp (pSv cm2)'!$A$2:$A$52,1)+1)-INDEX('hp (pSv cm2)'!$B$2:$B$52,MATCH($C433,'hp (pSv cm2)'!$A$2:$A$52,1)))/(INDEX('hp (pSv cm2)'!$A$2:$A$52,MATCH($C433,'hp (pSv cm2)'!$A$2:$A$52,1)+1)-INDEX('hp (pSv cm2)'!$A$2:$A$52,MATCH($C433,'hp (pSv cm2)'!$A$2:$A$52,1))),$C433*'hp (pSv cm2)'!$B$2/'hp (pSv cm2)'!$A$2)</f>
        <v>0.54254650999999998</v>
      </c>
      <c r="G433" s="67">
        <f t="shared" si="34"/>
        <v>6.6950239333999989E-2</v>
      </c>
      <c r="H433" s="83">
        <f>_xlfn.IFNA(0.997*(INDEX('Mass attenuation coefficients'!$B$2:$B$37,MATCH($C433,'Mass attenuation coefficients'!$A$2:$A$37,1))+($C433-INDEX('Mass attenuation coefficients'!$A$2:$A$37,MATCH($C433,'Mass attenuation coefficients'!$A$2:$A$37,1)))*(INDEX('Mass attenuation coefficients'!$B$2:$B$37,MATCH($C433,'Mass attenuation coefficients'!$A$2:$A$37,1)+1)-INDEX('Mass attenuation coefficients'!$B$2:$B$37,MATCH($C433,'Mass attenuation coefficients'!$A$2:$A$37,1)))/(INDEX('Mass attenuation coefficients'!$A$2:$A$37,MATCH($C433,'Mass attenuation coefficients'!$A$2:$A$37,1)+1)-INDEX('Mass attenuation coefficients'!$A$2:$A$37,MATCH($C433,'Mass attenuation coefficients'!$A$2:$A$37,1)))),0.997*$C433*'Mass attenuation coefficients'!$B$2/'Mass attenuation coefficients'!$A$2)</f>
        <v>0.16802915771400001</v>
      </c>
      <c r="I433" s="83">
        <f>_xlfn.IFNA(INDEX('Shultis Faw'!$C$2:$C$26,MATCH($C433,'Shultis Faw'!$A$2:$A$26,1))+($C433-INDEX('Shultis Faw'!$A$2:$A$26,MATCH($C433,'Shultis Faw'!$A$2:$A$26,1)))*(INDEX('Shultis Faw'!$C$2:$C$26,MATCH($C433,'Shultis Faw'!$A$2:$A$26,1)+1)-INDEX('Shultis Faw'!$C$2:$C$26,MATCH($C433,'Shultis Faw'!$A$2:$A$26,1)))/(INDEX('Shultis Faw'!$A$2:$A$26,MATCH($C433,'Shultis Faw'!$A$2:$A$26,1)+1)-INDEX('Shultis Faw'!$A$2:$A$26,MATCH($C433,'Shultis Faw'!$A$2:$A$26,1))),$C433*'Shultis Faw'!$C$2/'Shultis Faw'!$A$2)</f>
        <v>4.5808924600000003</v>
      </c>
      <c r="J433" s="83">
        <f>_xlfn.IFNA(INDEX('Shultis Faw'!$D$2:$D$26,MATCH($C433,'Shultis Faw'!$A$2:$A$26,1))+($C433-INDEX('Shultis Faw'!$A$2:$A$26,MATCH($C433,'Shultis Faw'!$A$2:$A$26,1)))*(INDEX('Shultis Faw'!$D$2:$D$26,MATCH($C433,'Shultis Faw'!$A$2:$A$26,1)+1)-INDEX('Shultis Faw'!$D$2:$D$26,MATCH($C433,'Shultis Faw'!$A$2:$A$26,1)))/(INDEX('Shultis Faw'!$A$2:$A$26,MATCH($C433,'Shultis Faw'!$A$2:$A$26,1)+1)-INDEX('Shultis Faw'!$A$2:$A$26,MATCH($C433,'Shultis Faw'!$A$2:$A$26,1))),$C433*'Shultis Faw'!$D$2/'Shultis Faw'!$A$2)</f>
        <v>2.2232509899999999</v>
      </c>
      <c r="K433" s="83">
        <f>_xlfn.IFNA(INDEX('Shultis Faw'!$B$2:$B$26,MATCH($C433,'Shultis Faw'!$A$2:$A$26,1))+($C433-INDEX('Shultis Faw'!$A$2:$A$26,MATCH($C433,'Shultis Faw'!$A$2:$A$26,1)))*(INDEX('Shultis Faw'!$B$2:$B$26,MATCH($C433,'Shultis Faw'!$A$2:$A$26,1)+1)-INDEX('Shultis Faw'!$B$2:$B$26,MATCH($C433,'Shultis Faw'!$A$2:$A$26,1)))/(INDEX('Shultis Faw'!$A$2:$A$26,MATCH($C433,'Shultis Faw'!$A$2:$A$26,1)+1)-INDEX('Shultis Faw'!$A$2:$A$26,MATCH($C433,'Shultis Faw'!$A$2:$A$26,1))),$C433*'Shultis Faw'!$B$2/'Shultis Faw'!$A$2)</f>
        <v>-0.18589280999999999</v>
      </c>
      <c r="L433" s="83">
        <f>_xlfn.IFNA(INDEX('Shultis Faw'!$E$2:$E$26,MATCH($C433,'Shultis Faw'!$A$2:$A$26,1))+($C433-INDEX('Shultis Faw'!$A$2:$A$26,MATCH($C433,'Shultis Faw'!$A$2:$A$26,1)))*(INDEX('Shultis Faw'!$E$2:$E$26,MATCH($C433,'Shultis Faw'!$A$2:$A$26,1)+1)-INDEX('Shultis Faw'!$E$2:$E$26,MATCH($C433,'Shultis Faw'!$A$2:$A$26,1)))/(INDEX('Shultis Faw'!$A$2:$A$26,MATCH($C433,'Shultis Faw'!$A$2:$A$26,1)+1)-INDEX('Shultis Faw'!$A$2:$A$26,MATCH($C433,'Shultis Faw'!$A$2:$A$26,1))),$C433*'Shultis Faw'!$E$2/'Shultis Faw'!$A$2)</f>
        <v>8.2074769000000006E-2</v>
      </c>
      <c r="M433" s="83">
        <f>_xlfn.IFNA(INDEX('Shultis Faw'!$F$2:$F$26,MATCH($C433,'Shultis Faw'!$A$2:$A$26,1))+($C433-INDEX('Shultis Faw'!$A$2:$A$26,MATCH($C433,'Shultis Faw'!$A$2:$A$26,1)))*(INDEX('Shultis Faw'!$F$2:$F$26,MATCH($C433,'Shultis Faw'!$A$2:$A$26,1)+1)-INDEX('Shultis Faw'!$F$2:$F$26,MATCH($C433,'Shultis Faw'!$A$2:$A$26,1)))/(INDEX('Shultis Faw'!$A$2:$A$26,MATCH($C433,'Shultis Faw'!$A$2:$A$26,1)+1)-INDEX('Shultis Faw'!$A$2:$A$26,MATCH($C433,'Shultis Faw'!$A$2:$A$26,1))),$C433*'Shultis Faw'!$F$2/'Shultis Faw'!$A$2)</f>
        <v>13.4221834</v>
      </c>
      <c r="N433" s="83">
        <f>J433*(H433*'Externe blootstelling'!$D$23/2)^K433+L433*(TANH(((H433*'Externe blootstelling'!$D$23)/(2*M433))-2)-TANH(-2))/(1-TANH(-2))</f>
        <v>1.8728879593212286</v>
      </c>
      <c r="O433" s="83">
        <f>IF(N433=1,1+(I433-1)*H433*'Externe blootstelling'!$D$23/2,1+(I433-1)*(N433^(H433*'Externe blootstelling'!$D$23/2)-1)/(N433-1))</f>
        <v>16.844837942413015</v>
      </c>
      <c r="P433" s="67">
        <f>G433*EXP(-H433*'Externe blootstelling'!$D$23/2)*O433</f>
        <v>9.0699925663513661E-2</v>
      </c>
      <c r="Q433" s="68"/>
    </row>
    <row r="434" spans="1:17" x14ac:dyDescent="0.2">
      <c r="A434" s="217"/>
      <c r="B434" s="77"/>
      <c r="C434" s="66">
        <v>0.1129498</v>
      </c>
      <c r="D434" s="66">
        <f t="shared" si="33"/>
        <v>1.8071967999999998E-14</v>
      </c>
      <c r="E434" s="66">
        <v>0.20399999999999999</v>
      </c>
      <c r="F434" s="66">
        <f>_xlfn.IFNA(INDEX('hp (pSv cm2)'!$B$2:$B$52,MATCH($C434,'hp (pSv cm2)'!$A$2:$A$52,1))+($C434-INDEX('hp (pSv cm2)'!$A$2:$A$52,MATCH($C434,'hp (pSv cm2)'!$A$2:$A$52,1)))*(INDEX('hp (pSv cm2)'!$B$2:$B$52,MATCH($C434,'hp (pSv cm2)'!$A$2:$A$52,1)+1)-INDEX('hp (pSv cm2)'!$B$2:$B$52,MATCH($C434,'hp (pSv cm2)'!$A$2:$A$52,1)))/(INDEX('hp (pSv cm2)'!$A$2:$A$52,MATCH($C434,'hp (pSv cm2)'!$A$2:$A$52,1)+1)-INDEX('hp (pSv cm2)'!$A$2:$A$52,MATCH($C434,'hp (pSv cm2)'!$A$2:$A$52,1))),$C434*'hp (pSv cm2)'!$B$2/'hp (pSv cm2)'!$A$2)</f>
        <v>0.57731008400000006</v>
      </c>
      <c r="G434" s="67">
        <f t="shared" si="34"/>
        <v>0.11777125713600001</v>
      </c>
      <c r="H434" s="83">
        <f>_xlfn.IFNA(0.997*(INDEX('Mass attenuation coefficients'!$B$2:$B$37,MATCH($C434,'Mass attenuation coefficients'!$A$2:$A$37,1))+($C434-INDEX('Mass attenuation coefficients'!$A$2:$A$37,MATCH($C434,'Mass attenuation coefficients'!$A$2:$A$37,1)))*(INDEX('Mass attenuation coefficients'!$B$2:$B$37,MATCH($C434,'Mass attenuation coefficients'!$A$2:$A$37,1)+1)-INDEX('Mass attenuation coefficients'!$B$2:$B$37,MATCH($C434,'Mass attenuation coefficients'!$A$2:$A$37,1)))/(INDEX('Mass attenuation coefficients'!$A$2:$A$37,MATCH($C434,'Mass attenuation coefficients'!$A$2:$A$37,1)+1)-INDEX('Mass attenuation coefficients'!$A$2:$A$37,MATCH($C434,'Mass attenuation coefficients'!$A$2:$A$37,1)))),0.997*$C434*'Mass attenuation coefficients'!$B$2/'Mass attenuation coefficients'!$A$2)</f>
        <v>0.16497187595759999</v>
      </c>
      <c r="I434" s="83">
        <f>_xlfn.IFNA(INDEX('Shultis Faw'!$C$2:$C$26,MATCH($C434,'Shultis Faw'!$A$2:$A$26,1))+($C434-INDEX('Shultis Faw'!$A$2:$A$26,MATCH($C434,'Shultis Faw'!$A$2:$A$26,1)))*(INDEX('Shultis Faw'!$C$2:$C$26,MATCH($C434,'Shultis Faw'!$A$2:$A$26,1)+1)-INDEX('Shultis Faw'!$C$2:$C$26,MATCH($C434,'Shultis Faw'!$A$2:$A$26,1)))/(INDEX('Shultis Faw'!$A$2:$A$26,MATCH($C434,'Shultis Faw'!$A$2:$A$26,1)+1)-INDEX('Shultis Faw'!$A$2:$A$26,MATCH($C434,'Shultis Faw'!$A$2:$A$26,1))),$C434*'Shultis Faw'!$C$2/'Shultis Faw'!$A$2)</f>
        <v>4.4646090640000002</v>
      </c>
      <c r="J434" s="83">
        <f>_xlfn.IFNA(INDEX('Shultis Faw'!$D$2:$D$26,MATCH($C434,'Shultis Faw'!$A$2:$A$26,1))+($C434-INDEX('Shultis Faw'!$A$2:$A$26,MATCH($C434,'Shultis Faw'!$A$2:$A$26,1)))*(INDEX('Shultis Faw'!$D$2:$D$26,MATCH($C434,'Shultis Faw'!$A$2:$A$26,1)+1)-INDEX('Shultis Faw'!$D$2:$D$26,MATCH($C434,'Shultis Faw'!$A$2:$A$26,1)))/(INDEX('Shultis Faw'!$A$2:$A$26,MATCH($C434,'Shultis Faw'!$A$2:$A$26,1)+1)-INDEX('Shultis Faw'!$A$2:$A$26,MATCH($C434,'Shultis Faw'!$A$2:$A$26,1))),$C434*'Shultis Faw'!$D$2/'Shultis Faw'!$A$2)</f>
        <v>2.2264389160000002</v>
      </c>
      <c r="K434" s="83">
        <f>_xlfn.IFNA(INDEX('Shultis Faw'!$B$2:$B$26,MATCH($C434,'Shultis Faw'!$A$2:$A$26,1))+($C434-INDEX('Shultis Faw'!$A$2:$A$26,MATCH($C434,'Shultis Faw'!$A$2:$A$26,1)))*(INDEX('Shultis Faw'!$B$2:$B$26,MATCH($C434,'Shultis Faw'!$A$2:$A$26,1)+1)-INDEX('Shultis Faw'!$B$2:$B$26,MATCH($C434,'Shultis Faw'!$A$2:$A$26,1)))/(INDEX('Shultis Faw'!$A$2:$A$26,MATCH($C434,'Shultis Faw'!$A$2:$A$26,1)+1)-INDEX('Shultis Faw'!$A$2:$A$26,MATCH($C434,'Shultis Faw'!$A$2:$A$26,1))),$C434*'Shultis Faw'!$B$2/'Shultis Faw'!$A$2)</f>
        <v>-0.18574100399999999</v>
      </c>
      <c r="L434" s="83">
        <f>_xlfn.IFNA(INDEX('Shultis Faw'!$E$2:$E$26,MATCH($C434,'Shultis Faw'!$A$2:$A$26,1))+($C434-INDEX('Shultis Faw'!$A$2:$A$26,MATCH($C434,'Shultis Faw'!$A$2:$A$26,1)))*(INDEX('Shultis Faw'!$E$2:$E$26,MATCH($C434,'Shultis Faw'!$A$2:$A$26,1)+1)-INDEX('Shultis Faw'!$E$2:$E$26,MATCH($C434,'Shultis Faw'!$A$2:$A$26,1)))/(INDEX('Shultis Faw'!$A$2:$A$26,MATCH($C434,'Shultis Faw'!$A$2:$A$26,1)+1)-INDEX('Shultis Faw'!$A$2:$A$26,MATCH($C434,'Shultis Faw'!$A$2:$A$26,1))),$C434*'Shultis Faw'!$E$2/'Shultis Faw'!$A$2)</f>
        <v>8.133091960000001E-2</v>
      </c>
      <c r="M434" s="83">
        <f>_xlfn.IFNA(INDEX('Shultis Faw'!$F$2:$F$26,MATCH($C434,'Shultis Faw'!$A$2:$A$26,1))+($C434-INDEX('Shultis Faw'!$A$2:$A$26,MATCH($C434,'Shultis Faw'!$A$2:$A$26,1)))*(INDEX('Shultis Faw'!$F$2:$F$26,MATCH($C434,'Shultis Faw'!$A$2:$A$26,1)+1)-INDEX('Shultis Faw'!$F$2:$F$26,MATCH($C434,'Shultis Faw'!$A$2:$A$26,1)))/(INDEX('Shultis Faw'!$A$2:$A$26,MATCH($C434,'Shultis Faw'!$A$2:$A$26,1)+1)-INDEX('Shultis Faw'!$A$2:$A$26,MATCH($C434,'Shultis Faw'!$A$2:$A$26,1))),$C434*'Shultis Faw'!$F$2/'Shultis Faw'!$A$2)</f>
        <v>13.55273656</v>
      </c>
      <c r="N434" s="83">
        <f>J434*(H434*'Externe blootstelling'!$D$23/2)^K434+L434*(TANH(((H434*'Externe blootstelling'!$D$23)/(2*M434))-2)-TANH(-2))/(1-TANH(-2))</f>
        <v>1.8822144752144121</v>
      </c>
      <c r="O434" s="83">
        <f>IF(N434=1,1+(I434-1)*H434*'Externe blootstelling'!$D$23/2,1+(I434-1)*(N434^(H434*'Externe blootstelling'!$D$23/2)-1)/(N434-1))</f>
        <v>15.856054798657093</v>
      </c>
      <c r="P434" s="67">
        <f>G434*EXP(-H434*'Externe blootstelling'!$D$23/2)*O434</f>
        <v>0.15723123222472796</v>
      </c>
      <c r="Q434" s="68"/>
    </row>
    <row r="435" spans="1:17" x14ac:dyDescent="0.2">
      <c r="A435" s="217"/>
      <c r="B435" s="77"/>
      <c r="C435" s="66">
        <v>0.1158682</v>
      </c>
      <c r="D435" s="66">
        <f t="shared" si="33"/>
        <v>1.8538911999999999E-14</v>
      </c>
      <c r="E435" s="66">
        <v>6.4999999999999997E-3</v>
      </c>
      <c r="F435" s="66">
        <f>_xlfn.IFNA(INDEX('hp (pSv cm2)'!$B$2:$B$52,MATCH($C435,'hp (pSv cm2)'!$A$2:$A$52,1))+($C435-INDEX('hp (pSv cm2)'!$A$2:$A$52,MATCH($C435,'hp (pSv cm2)'!$A$2:$A$52,1)))*(INDEX('hp (pSv cm2)'!$B$2:$B$52,MATCH($C435,'hp (pSv cm2)'!$A$2:$A$52,1)+1)-INDEX('hp (pSv cm2)'!$B$2:$B$52,MATCH($C435,'hp (pSv cm2)'!$A$2:$A$52,1)))/(INDEX('hp (pSv cm2)'!$A$2:$A$52,MATCH($C435,'hp (pSv cm2)'!$A$2:$A$52,1)+1)-INDEX('hp (pSv cm2)'!$A$2:$A$52,MATCH($C435,'hp (pSv cm2)'!$A$2:$A$52,1))),$C435*'hp (pSv cm2)'!$B$2/'hp (pSv cm2)'!$A$2)</f>
        <v>0.59067635600000001</v>
      </c>
      <c r="G435" s="67">
        <f t="shared" si="34"/>
        <v>3.8393963139999997E-3</v>
      </c>
      <c r="H435" s="83">
        <f>_xlfn.IFNA(0.997*(INDEX('Mass attenuation coefficients'!$B$2:$B$37,MATCH($C435,'Mass attenuation coefficients'!$A$2:$A$37,1))+($C435-INDEX('Mass attenuation coefficients'!$A$2:$A$37,MATCH($C435,'Mass attenuation coefficients'!$A$2:$A$37,1)))*(INDEX('Mass attenuation coefficients'!$B$2:$B$37,MATCH($C435,'Mass attenuation coefficients'!$A$2:$A$37,1)+1)-INDEX('Mass attenuation coefficients'!$B$2:$B$37,MATCH($C435,'Mass attenuation coefficients'!$A$2:$A$37,1)))/(INDEX('Mass attenuation coefficients'!$A$2:$A$37,MATCH($C435,'Mass attenuation coefficients'!$A$2:$A$37,1)+1)-INDEX('Mass attenuation coefficients'!$A$2:$A$37,MATCH($C435,'Mass attenuation coefficients'!$A$2:$A$37,1)))),0.997*$C435*'Mass attenuation coefficients'!$B$2/'Mass attenuation coefficients'!$A$2)</f>
        <v>0.16379637945839998</v>
      </c>
      <c r="I435" s="83">
        <f>_xlfn.IFNA(INDEX('Shultis Faw'!$C$2:$C$26,MATCH($C435,'Shultis Faw'!$A$2:$A$26,1))+($C435-INDEX('Shultis Faw'!$A$2:$A$26,MATCH($C435,'Shultis Faw'!$A$2:$A$26,1)))*(INDEX('Shultis Faw'!$C$2:$C$26,MATCH($C435,'Shultis Faw'!$A$2:$A$26,1)+1)-INDEX('Shultis Faw'!$C$2:$C$26,MATCH($C435,'Shultis Faw'!$A$2:$A$26,1)))/(INDEX('Shultis Faw'!$A$2:$A$26,MATCH($C435,'Shultis Faw'!$A$2:$A$26,1)+1)-INDEX('Shultis Faw'!$A$2:$A$26,MATCH($C435,'Shultis Faw'!$A$2:$A$26,1))),$C435*'Shultis Faw'!$C$2/'Shultis Faw'!$A$2)</f>
        <v>4.4198991760000004</v>
      </c>
      <c r="J435" s="83">
        <f>_xlfn.IFNA(INDEX('Shultis Faw'!$D$2:$D$26,MATCH($C435,'Shultis Faw'!$A$2:$A$26,1))+($C435-INDEX('Shultis Faw'!$A$2:$A$26,MATCH($C435,'Shultis Faw'!$A$2:$A$26,1)))*(INDEX('Shultis Faw'!$D$2:$D$26,MATCH($C435,'Shultis Faw'!$A$2:$A$26,1)+1)-INDEX('Shultis Faw'!$D$2:$D$26,MATCH($C435,'Shultis Faw'!$A$2:$A$26,1)))/(INDEX('Shultis Faw'!$A$2:$A$26,MATCH($C435,'Shultis Faw'!$A$2:$A$26,1)+1)-INDEX('Shultis Faw'!$A$2:$A$26,MATCH($C435,'Shultis Faw'!$A$2:$A$26,1))),$C435*'Shultis Faw'!$D$2/'Shultis Faw'!$A$2)</f>
        <v>2.2276646439999999</v>
      </c>
      <c r="K435" s="83">
        <f>_xlfn.IFNA(INDEX('Shultis Faw'!$B$2:$B$26,MATCH($C435,'Shultis Faw'!$A$2:$A$26,1))+($C435-INDEX('Shultis Faw'!$A$2:$A$26,MATCH($C435,'Shultis Faw'!$A$2:$A$26,1)))*(INDEX('Shultis Faw'!$B$2:$B$26,MATCH($C435,'Shultis Faw'!$A$2:$A$26,1)+1)-INDEX('Shultis Faw'!$B$2:$B$26,MATCH($C435,'Shultis Faw'!$A$2:$A$26,1)))/(INDEX('Shultis Faw'!$A$2:$A$26,MATCH($C435,'Shultis Faw'!$A$2:$A$26,1)+1)-INDEX('Shultis Faw'!$A$2:$A$26,MATCH($C435,'Shultis Faw'!$A$2:$A$26,1))),$C435*'Shultis Faw'!$B$2/'Shultis Faw'!$A$2)</f>
        <v>-0.18568263600000001</v>
      </c>
      <c r="L435" s="83">
        <f>_xlfn.IFNA(INDEX('Shultis Faw'!$E$2:$E$26,MATCH($C435,'Shultis Faw'!$A$2:$A$26,1))+($C435-INDEX('Shultis Faw'!$A$2:$A$26,MATCH($C435,'Shultis Faw'!$A$2:$A$26,1)))*(INDEX('Shultis Faw'!$E$2:$E$26,MATCH($C435,'Shultis Faw'!$A$2:$A$26,1)+1)-INDEX('Shultis Faw'!$E$2:$E$26,MATCH($C435,'Shultis Faw'!$A$2:$A$26,1)))/(INDEX('Shultis Faw'!$A$2:$A$26,MATCH($C435,'Shultis Faw'!$A$2:$A$26,1)+1)-INDEX('Shultis Faw'!$A$2:$A$26,MATCH($C435,'Shultis Faw'!$A$2:$A$26,1))),$C435*'Shultis Faw'!$E$2/'Shultis Faw'!$A$2)</f>
        <v>8.10449164E-2</v>
      </c>
      <c r="M435" s="83">
        <f>_xlfn.IFNA(INDEX('Shultis Faw'!$F$2:$F$26,MATCH($C435,'Shultis Faw'!$A$2:$A$26,1))+($C435-INDEX('Shultis Faw'!$A$2:$A$26,MATCH($C435,'Shultis Faw'!$A$2:$A$26,1)))*(INDEX('Shultis Faw'!$F$2:$F$26,MATCH($C435,'Shultis Faw'!$A$2:$A$26,1)+1)-INDEX('Shultis Faw'!$F$2:$F$26,MATCH($C435,'Shultis Faw'!$A$2:$A$26,1)))/(INDEX('Shultis Faw'!$A$2:$A$26,MATCH($C435,'Shultis Faw'!$A$2:$A$26,1)+1)-INDEX('Shultis Faw'!$A$2:$A$26,MATCH($C435,'Shultis Faw'!$A$2:$A$26,1))),$C435*'Shultis Faw'!$F$2/'Shultis Faw'!$A$2)</f>
        <v>13.60293304</v>
      </c>
      <c r="N435" s="83">
        <f>J435*(H435*'Externe blootstelling'!$D$23/2)^K435+L435*(TANH(((H435*'Externe blootstelling'!$D$23)/(2*M435))-2)-TANH(-2))/(1-TANH(-2))</f>
        <v>1.8858410642840697</v>
      </c>
      <c r="O435" s="83">
        <f>IF(N435=1,1+(I435-1)*H435*'Externe blootstelling'!$D$23/2,1+(I435-1)*(N435^(H435*'Externe blootstelling'!$D$23/2)-1)/(N435-1))</f>
        <v>15.486100361214691</v>
      </c>
      <c r="P435" s="67">
        <f>G435*EXP(-H435*'Externe blootstelling'!$D$23/2)*O435</f>
        <v>5.095268291974665E-3</v>
      </c>
      <c r="Q435" s="68"/>
    </row>
    <row r="436" spans="1:17" x14ac:dyDescent="0.2">
      <c r="A436" s="217"/>
      <c r="B436" s="77"/>
      <c r="C436" s="66">
        <v>0.11701</v>
      </c>
      <c r="D436" s="66">
        <f t="shared" si="33"/>
        <v>1.87216E-14</v>
      </c>
      <c r="E436" s="66">
        <v>1.8699999999999999E-3</v>
      </c>
      <c r="F436" s="66">
        <f>_xlfn.IFNA(INDEX('hp (pSv cm2)'!$B$2:$B$52,MATCH($C436,'hp (pSv cm2)'!$A$2:$A$52,1))+($C436-INDEX('hp (pSv cm2)'!$A$2:$A$52,MATCH($C436,'hp (pSv cm2)'!$A$2:$A$52,1)))*(INDEX('hp (pSv cm2)'!$B$2:$B$52,MATCH($C436,'hp (pSv cm2)'!$A$2:$A$52,1)+1)-INDEX('hp (pSv cm2)'!$B$2:$B$52,MATCH($C436,'hp (pSv cm2)'!$A$2:$A$52,1)))/(INDEX('hp (pSv cm2)'!$A$2:$A$52,MATCH($C436,'hp (pSv cm2)'!$A$2:$A$52,1)+1)-INDEX('hp (pSv cm2)'!$A$2:$A$52,MATCH($C436,'hp (pSv cm2)'!$A$2:$A$52,1))),$C436*'hp (pSv cm2)'!$B$2/'hp (pSv cm2)'!$A$2)</f>
        <v>0.59590580000000004</v>
      </c>
      <c r="G436" s="67">
        <f t="shared" si="34"/>
        <v>1.1143438459999999E-3</v>
      </c>
      <c r="H436" s="83">
        <f>_xlfn.IFNA(0.997*(INDEX('Mass attenuation coefficients'!$B$2:$B$37,MATCH($C436,'Mass attenuation coefficients'!$A$2:$A$37,1))+($C436-INDEX('Mass attenuation coefficients'!$A$2:$A$37,MATCH($C436,'Mass attenuation coefficients'!$A$2:$A$37,1)))*(INDEX('Mass attenuation coefficients'!$B$2:$B$37,MATCH($C436,'Mass attenuation coefficients'!$A$2:$A$37,1)+1)-INDEX('Mass attenuation coefficients'!$B$2:$B$37,MATCH($C436,'Mass attenuation coefficients'!$A$2:$A$37,1)))/(INDEX('Mass attenuation coefficients'!$A$2:$A$37,MATCH($C436,'Mass attenuation coefficients'!$A$2:$A$37,1)+1)-INDEX('Mass attenuation coefficients'!$A$2:$A$37,MATCH($C436,'Mass attenuation coefficients'!$A$2:$A$37,1)))),0.997*$C436*'Mass attenuation coefficients'!$B$2/'Mass attenuation coefficients'!$A$2)</f>
        <v>0.16333647611999999</v>
      </c>
      <c r="I436" s="83">
        <f>_xlfn.IFNA(INDEX('Shultis Faw'!$C$2:$C$26,MATCH($C436,'Shultis Faw'!$A$2:$A$26,1))+($C436-INDEX('Shultis Faw'!$A$2:$A$26,MATCH($C436,'Shultis Faw'!$A$2:$A$26,1)))*(INDEX('Shultis Faw'!$C$2:$C$26,MATCH($C436,'Shultis Faw'!$A$2:$A$26,1)+1)-INDEX('Shultis Faw'!$C$2:$C$26,MATCH($C436,'Shultis Faw'!$A$2:$A$26,1)))/(INDEX('Shultis Faw'!$A$2:$A$26,MATCH($C436,'Shultis Faw'!$A$2:$A$26,1)+1)-INDEX('Shultis Faw'!$A$2:$A$26,MATCH($C436,'Shultis Faw'!$A$2:$A$26,1))),$C436*'Shultis Faw'!$C$2/'Shultis Faw'!$A$2)</f>
        <v>4.4024067999999996</v>
      </c>
      <c r="J436" s="83">
        <f>_xlfn.IFNA(INDEX('Shultis Faw'!$D$2:$D$26,MATCH($C436,'Shultis Faw'!$A$2:$A$26,1))+($C436-INDEX('Shultis Faw'!$A$2:$A$26,MATCH($C436,'Shultis Faw'!$A$2:$A$26,1)))*(INDEX('Shultis Faw'!$D$2:$D$26,MATCH($C436,'Shultis Faw'!$A$2:$A$26,1)+1)-INDEX('Shultis Faw'!$D$2:$D$26,MATCH($C436,'Shultis Faw'!$A$2:$A$26,1)))/(INDEX('Shultis Faw'!$A$2:$A$26,MATCH($C436,'Shultis Faw'!$A$2:$A$26,1)+1)-INDEX('Shultis Faw'!$A$2:$A$26,MATCH($C436,'Shultis Faw'!$A$2:$A$26,1))),$C436*'Shultis Faw'!$D$2/'Shultis Faw'!$A$2)</f>
        <v>2.2281442</v>
      </c>
      <c r="K436" s="83">
        <f>_xlfn.IFNA(INDEX('Shultis Faw'!$B$2:$B$26,MATCH($C436,'Shultis Faw'!$A$2:$A$26,1))+($C436-INDEX('Shultis Faw'!$A$2:$A$26,MATCH($C436,'Shultis Faw'!$A$2:$A$26,1)))*(INDEX('Shultis Faw'!$B$2:$B$26,MATCH($C436,'Shultis Faw'!$A$2:$A$26,1)+1)-INDEX('Shultis Faw'!$B$2:$B$26,MATCH($C436,'Shultis Faw'!$A$2:$A$26,1)))/(INDEX('Shultis Faw'!$A$2:$A$26,MATCH($C436,'Shultis Faw'!$A$2:$A$26,1)+1)-INDEX('Shultis Faw'!$A$2:$A$26,MATCH($C436,'Shultis Faw'!$A$2:$A$26,1))),$C436*'Shultis Faw'!$B$2/'Shultis Faw'!$A$2)</f>
        <v>-0.18565979999999999</v>
      </c>
      <c r="L436" s="83">
        <f>_xlfn.IFNA(INDEX('Shultis Faw'!$E$2:$E$26,MATCH($C436,'Shultis Faw'!$A$2:$A$26,1))+($C436-INDEX('Shultis Faw'!$A$2:$A$26,MATCH($C436,'Shultis Faw'!$A$2:$A$26,1)))*(INDEX('Shultis Faw'!$E$2:$E$26,MATCH($C436,'Shultis Faw'!$A$2:$A$26,1)+1)-INDEX('Shultis Faw'!$E$2:$E$26,MATCH($C436,'Shultis Faw'!$A$2:$A$26,1)))/(INDEX('Shultis Faw'!$A$2:$A$26,MATCH($C436,'Shultis Faw'!$A$2:$A$26,1)+1)-INDEX('Shultis Faw'!$A$2:$A$26,MATCH($C436,'Shultis Faw'!$A$2:$A$26,1))),$C436*'Shultis Faw'!$E$2/'Shultis Faw'!$A$2)</f>
        <v>8.0933020000000008E-2</v>
      </c>
      <c r="M436" s="83">
        <f>_xlfn.IFNA(INDEX('Shultis Faw'!$F$2:$F$26,MATCH($C436,'Shultis Faw'!$A$2:$A$26,1))+($C436-INDEX('Shultis Faw'!$A$2:$A$26,MATCH($C436,'Shultis Faw'!$A$2:$A$26,1)))*(INDEX('Shultis Faw'!$F$2:$F$26,MATCH($C436,'Shultis Faw'!$A$2:$A$26,1)+1)-INDEX('Shultis Faw'!$F$2:$F$26,MATCH($C436,'Shultis Faw'!$A$2:$A$26,1)))/(INDEX('Shultis Faw'!$A$2:$A$26,MATCH($C436,'Shultis Faw'!$A$2:$A$26,1)+1)-INDEX('Shultis Faw'!$A$2:$A$26,MATCH($C436,'Shultis Faw'!$A$2:$A$26,1))),$C436*'Shultis Faw'!$F$2/'Shultis Faw'!$A$2)</f>
        <v>13.622572</v>
      </c>
      <c r="N436" s="83">
        <f>J436*(H436*'Externe blootstelling'!$D$23/2)^K436+L436*(TANH(((H436*'Externe blootstelling'!$D$23)/(2*M436))-2)-TANH(-2))/(1-TANH(-2))</f>
        <v>1.8872662014741384</v>
      </c>
      <c r="O436" s="83">
        <f>IF(N436=1,1+(I436-1)*H436*'Externe blootstelling'!$D$23/2,1+(I436-1)*(N436^(H436*'Externe blootstelling'!$D$23/2)-1)/(N436-1))</f>
        <v>15.342892328468162</v>
      </c>
      <c r="P436" s="67">
        <f>G436*EXP(-H436*'Externe blootstelling'!$D$23/2)*O436</f>
        <v>1.475314130980031E-3</v>
      </c>
      <c r="Q436" s="68"/>
    </row>
    <row r="437" spans="1:17" x14ac:dyDescent="0.2">
      <c r="A437" s="217"/>
      <c r="B437" s="77"/>
      <c r="C437" s="66">
        <v>0.1216211</v>
      </c>
      <c r="D437" s="66">
        <f t="shared" si="33"/>
        <v>1.9459375999999999E-14</v>
      </c>
      <c r="E437" s="66">
        <v>5.91E-2</v>
      </c>
      <c r="F437" s="66">
        <f>_xlfn.IFNA(INDEX('hp (pSv cm2)'!$B$2:$B$52,MATCH($C437,'hp (pSv cm2)'!$A$2:$A$52,1))+($C437-INDEX('hp (pSv cm2)'!$A$2:$A$52,MATCH($C437,'hp (pSv cm2)'!$A$2:$A$52,1)))*(INDEX('hp (pSv cm2)'!$B$2:$B$52,MATCH($C437,'hp (pSv cm2)'!$A$2:$A$52,1)+1)-INDEX('hp (pSv cm2)'!$B$2:$B$52,MATCH($C437,'hp (pSv cm2)'!$A$2:$A$52,1)))/(INDEX('hp (pSv cm2)'!$A$2:$A$52,MATCH($C437,'hp (pSv cm2)'!$A$2:$A$52,1)+1)-INDEX('hp (pSv cm2)'!$A$2:$A$52,MATCH($C437,'hp (pSv cm2)'!$A$2:$A$52,1))),$C437*'hp (pSv cm2)'!$B$2/'hp (pSv cm2)'!$A$2)</f>
        <v>0.61702463799999996</v>
      </c>
      <c r="G437" s="67">
        <f t="shared" si="34"/>
        <v>3.64661561058E-2</v>
      </c>
      <c r="H437" s="83">
        <f>_xlfn.IFNA(0.997*(INDEX('Mass attenuation coefficients'!$B$2:$B$37,MATCH($C437,'Mass attenuation coefficients'!$A$2:$A$37,1))+($C437-INDEX('Mass attenuation coefficients'!$A$2:$A$37,MATCH($C437,'Mass attenuation coefficients'!$A$2:$A$37,1)))*(INDEX('Mass attenuation coefficients'!$B$2:$B$37,MATCH($C437,'Mass attenuation coefficients'!$A$2:$A$37,1)+1)-INDEX('Mass attenuation coefficients'!$B$2:$B$37,MATCH($C437,'Mass attenuation coefficients'!$A$2:$A$37,1)))/(INDEX('Mass attenuation coefficients'!$A$2:$A$37,MATCH($C437,'Mass attenuation coefficients'!$A$2:$A$37,1)+1)-INDEX('Mass attenuation coefficients'!$A$2:$A$37,MATCH($C437,'Mass attenuation coefficients'!$A$2:$A$37,1)))),0.997*$C437*'Mass attenuation coefficients'!$B$2/'Mass attenuation coefficients'!$A$2)</f>
        <v>0.1614791803732</v>
      </c>
      <c r="I437" s="83">
        <f>_xlfn.IFNA(INDEX('Shultis Faw'!$C$2:$C$26,MATCH($C437,'Shultis Faw'!$A$2:$A$26,1))+($C437-INDEX('Shultis Faw'!$A$2:$A$26,MATCH($C437,'Shultis Faw'!$A$2:$A$26,1)))*(INDEX('Shultis Faw'!$C$2:$C$26,MATCH($C437,'Shultis Faw'!$A$2:$A$26,1)+1)-INDEX('Shultis Faw'!$C$2:$C$26,MATCH($C437,'Shultis Faw'!$A$2:$A$26,1)))/(INDEX('Shultis Faw'!$A$2:$A$26,MATCH($C437,'Shultis Faw'!$A$2:$A$26,1)+1)-INDEX('Shultis Faw'!$A$2:$A$26,MATCH($C437,'Shultis Faw'!$A$2:$A$26,1))),$C437*'Shultis Faw'!$C$2/'Shultis Faw'!$A$2)</f>
        <v>4.3317647480000003</v>
      </c>
      <c r="J437" s="83">
        <f>_xlfn.IFNA(INDEX('Shultis Faw'!$D$2:$D$26,MATCH($C437,'Shultis Faw'!$A$2:$A$26,1))+($C437-INDEX('Shultis Faw'!$A$2:$A$26,MATCH($C437,'Shultis Faw'!$A$2:$A$26,1)))*(INDEX('Shultis Faw'!$D$2:$D$26,MATCH($C437,'Shultis Faw'!$A$2:$A$26,1)+1)-INDEX('Shultis Faw'!$D$2:$D$26,MATCH($C437,'Shultis Faw'!$A$2:$A$26,1)))/(INDEX('Shultis Faw'!$A$2:$A$26,MATCH($C437,'Shultis Faw'!$A$2:$A$26,1)+1)-INDEX('Shultis Faw'!$A$2:$A$26,MATCH($C437,'Shultis Faw'!$A$2:$A$26,1))),$C437*'Shultis Faw'!$D$2/'Shultis Faw'!$A$2)</f>
        <v>2.2300808619999999</v>
      </c>
      <c r="K437" s="83">
        <f>_xlfn.IFNA(INDEX('Shultis Faw'!$B$2:$B$26,MATCH($C437,'Shultis Faw'!$A$2:$A$26,1))+($C437-INDEX('Shultis Faw'!$A$2:$A$26,MATCH($C437,'Shultis Faw'!$A$2:$A$26,1)))*(INDEX('Shultis Faw'!$B$2:$B$26,MATCH($C437,'Shultis Faw'!$A$2:$A$26,1)+1)-INDEX('Shultis Faw'!$B$2:$B$26,MATCH($C437,'Shultis Faw'!$A$2:$A$26,1)))/(INDEX('Shultis Faw'!$A$2:$A$26,MATCH($C437,'Shultis Faw'!$A$2:$A$26,1)+1)-INDEX('Shultis Faw'!$A$2:$A$26,MATCH($C437,'Shultis Faw'!$A$2:$A$26,1))),$C437*'Shultis Faw'!$B$2/'Shultis Faw'!$A$2)</f>
        <v>-0.18556757800000001</v>
      </c>
      <c r="L437" s="83">
        <f>_xlfn.IFNA(INDEX('Shultis Faw'!$E$2:$E$26,MATCH($C437,'Shultis Faw'!$A$2:$A$26,1))+($C437-INDEX('Shultis Faw'!$A$2:$A$26,MATCH($C437,'Shultis Faw'!$A$2:$A$26,1)))*(INDEX('Shultis Faw'!$E$2:$E$26,MATCH($C437,'Shultis Faw'!$A$2:$A$26,1)+1)-INDEX('Shultis Faw'!$E$2:$E$26,MATCH($C437,'Shultis Faw'!$A$2:$A$26,1)))/(INDEX('Shultis Faw'!$A$2:$A$26,MATCH($C437,'Shultis Faw'!$A$2:$A$26,1)+1)-INDEX('Shultis Faw'!$A$2:$A$26,MATCH($C437,'Shultis Faw'!$A$2:$A$26,1))),$C437*'Shultis Faw'!$E$2/'Shultis Faw'!$A$2)</f>
        <v>8.04811322E-2</v>
      </c>
      <c r="M437" s="83">
        <f>_xlfn.IFNA(INDEX('Shultis Faw'!$F$2:$F$26,MATCH($C437,'Shultis Faw'!$A$2:$A$26,1))+($C437-INDEX('Shultis Faw'!$A$2:$A$26,MATCH($C437,'Shultis Faw'!$A$2:$A$26,1)))*(INDEX('Shultis Faw'!$F$2:$F$26,MATCH($C437,'Shultis Faw'!$A$2:$A$26,1)+1)-INDEX('Shultis Faw'!$F$2:$F$26,MATCH($C437,'Shultis Faw'!$A$2:$A$26,1)))/(INDEX('Shultis Faw'!$A$2:$A$26,MATCH($C437,'Shultis Faw'!$A$2:$A$26,1)+1)-INDEX('Shultis Faw'!$A$2:$A$26,MATCH($C437,'Shultis Faw'!$A$2:$A$26,1))),$C437*'Shultis Faw'!$F$2/'Shultis Faw'!$A$2)</f>
        <v>13.701882919999999</v>
      </c>
      <c r="N437" s="83">
        <f>J437*(H437*'Externe blootstelling'!$D$23/2)^K437+L437*(TANH(((H437*'Externe blootstelling'!$D$23)/(2*M437))-2)-TANH(-2))/(1-TANH(-2))</f>
        <v>1.8930579250344493</v>
      </c>
      <c r="O437" s="83">
        <f>IF(N437=1,1+(I437-1)*H437*'Externe blootstelling'!$D$23/2,1+(I437-1)*(N437^(H437*'Externe blootstelling'!$D$23/2)-1)/(N437-1))</f>
        <v>14.773278301151182</v>
      </c>
      <c r="P437" s="67">
        <f>G437*EXP(-H437*'Externe blootstelling'!$D$23/2)*O437</f>
        <v>4.7799583378579633E-2</v>
      </c>
      <c r="Q437" s="68"/>
    </row>
    <row r="438" spans="1:17" x14ac:dyDescent="0.2">
      <c r="A438" s="217"/>
      <c r="B438" s="77"/>
      <c r="C438" s="66">
        <v>0.12850299999999998</v>
      </c>
      <c r="D438" s="66">
        <f t="shared" si="33"/>
        <v>2.0560479999999995E-14</v>
      </c>
      <c r="E438" s="66">
        <v>0.155</v>
      </c>
      <c r="F438" s="66">
        <f>_xlfn.IFNA(INDEX('hp (pSv cm2)'!$B$2:$B$52,MATCH($C438,'hp (pSv cm2)'!$A$2:$A$52,1))+($C438-INDEX('hp (pSv cm2)'!$A$2:$A$52,MATCH($C438,'hp (pSv cm2)'!$A$2:$A$52,1)))*(INDEX('hp (pSv cm2)'!$B$2:$B$52,MATCH($C438,'hp (pSv cm2)'!$A$2:$A$52,1)+1)-INDEX('hp (pSv cm2)'!$B$2:$B$52,MATCH($C438,'hp (pSv cm2)'!$A$2:$A$52,1)))/(INDEX('hp (pSv cm2)'!$A$2:$A$52,MATCH($C438,'hp (pSv cm2)'!$A$2:$A$52,1)+1)-INDEX('hp (pSv cm2)'!$A$2:$A$52,MATCH($C438,'hp (pSv cm2)'!$A$2:$A$52,1))),$C438*'hp (pSv cm2)'!$B$2/'hp (pSv cm2)'!$A$2)</f>
        <v>0.64854373999999992</v>
      </c>
      <c r="G438" s="67">
        <f t="shared" si="34"/>
        <v>0.10052427969999998</v>
      </c>
      <c r="H438" s="83">
        <f>_xlfn.IFNA(0.997*(INDEX('Mass attenuation coefficients'!$B$2:$B$37,MATCH($C438,'Mass attenuation coefficients'!$A$2:$A$37,1))+($C438-INDEX('Mass attenuation coefficients'!$A$2:$A$37,MATCH($C438,'Mass attenuation coefficients'!$A$2:$A$37,1)))*(INDEX('Mass attenuation coefficients'!$B$2:$B$37,MATCH($C438,'Mass attenuation coefficients'!$A$2:$A$37,1)+1)-INDEX('Mass attenuation coefficients'!$B$2:$B$37,MATCH($C438,'Mass attenuation coefficients'!$A$2:$A$37,1)))/(INDEX('Mass attenuation coefficients'!$A$2:$A$37,MATCH($C438,'Mass attenuation coefficients'!$A$2:$A$37,1)+1)-INDEX('Mass attenuation coefficients'!$A$2:$A$37,MATCH($C438,'Mass attenuation coefficients'!$A$2:$A$37,1)))),0.997*$C438*'Mass attenuation coefficients'!$B$2/'Mass attenuation coefficients'!$A$2)</f>
        <v>0.15870723363600001</v>
      </c>
      <c r="I438" s="83">
        <f>_xlfn.IFNA(INDEX('Shultis Faw'!$C$2:$C$26,MATCH($C438,'Shultis Faw'!$A$2:$A$26,1))+($C438-INDEX('Shultis Faw'!$A$2:$A$26,MATCH($C438,'Shultis Faw'!$A$2:$A$26,1)))*(INDEX('Shultis Faw'!$C$2:$C$26,MATCH($C438,'Shultis Faw'!$A$2:$A$26,1)+1)-INDEX('Shultis Faw'!$C$2:$C$26,MATCH($C438,'Shultis Faw'!$A$2:$A$26,1)))/(INDEX('Shultis Faw'!$A$2:$A$26,MATCH($C438,'Shultis Faw'!$A$2:$A$26,1)+1)-INDEX('Shultis Faw'!$A$2:$A$26,MATCH($C438,'Shultis Faw'!$A$2:$A$26,1))),$C438*'Shultis Faw'!$C$2/'Shultis Faw'!$A$2)</f>
        <v>4.2263340400000002</v>
      </c>
      <c r="J438" s="83">
        <f>_xlfn.IFNA(INDEX('Shultis Faw'!$D$2:$D$26,MATCH($C438,'Shultis Faw'!$A$2:$A$26,1))+($C438-INDEX('Shultis Faw'!$A$2:$A$26,MATCH($C438,'Shultis Faw'!$A$2:$A$26,1)))*(INDEX('Shultis Faw'!$D$2:$D$26,MATCH($C438,'Shultis Faw'!$A$2:$A$26,1)+1)-INDEX('Shultis Faw'!$D$2:$D$26,MATCH($C438,'Shultis Faw'!$A$2:$A$26,1)))/(INDEX('Shultis Faw'!$A$2:$A$26,MATCH($C438,'Shultis Faw'!$A$2:$A$26,1)+1)-INDEX('Shultis Faw'!$A$2:$A$26,MATCH($C438,'Shultis Faw'!$A$2:$A$26,1))),$C438*'Shultis Faw'!$D$2/'Shultis Faw'!$A$2)</f>
        <v>2.2329712600000002</v>
      </c>
      <c r="K438" s="83">
        <f>_xlfn.IFNA(INDEX('Shultis Faw'!$B$2:$B$26,MATCH($C438,'Shultis Faw'!$A$2:$A$26,1))+($C438-INDEX('Shultis Faw'!$A$2:$A$26,MATCH($C438,'Shultis Faw'!$A$2:$A$26,1)))*(INDEX('Shultis Faw'!$B$2:$B$26,MATCH($C438,'Shultis Faw'!$A$2:$A$26,1)+1)-INDEX('Shultis Faw'!$B$2:$B$26,MATCH($C438,'Shultis Faw'!$A$2:$A$26,1)))/(INDEX('Shultis Faw'!$A$2:$A$26,MATCH($C438,'Shultis Faw'!$A$2:$A$26,1)+1)-INDEX('Shultis Faw'!$A$2:$A$26,MATCH($C438,'Shultis Faw'!$A$2:$A$26,1))),$C438*'Shultis Faw'!$B$2/'Shultis Faw'!$A$2)</f>
        <v>-0.18542993999999999</v>
      </c>
      <c r="L438" s="83">
        <f>_xlfn.IFNA(INDEX('Shultis Faw'!$E$2:$E$26,MATCH($C438,'Shultis Faw'!$A$2:$A$26,1))+($C438-INDEX('Shultis Faw'!$A$2:$A$26,MATCH($C438,'Shultis Faw'!$A$2:$A$26,1)))*(INDEX('Shultis Faw'!$E$2:$E$26,MATCH($C438,'Shultis Faw'!$A$2:$A$26,1)+1)-INDEX('Shultis Faw'!$E$2:$E$26,MATCH($C438,'Shultis Faw'!$A$2:$A$26,1)))/(INDEX('Shultis Faw'!$A$2:$A$26,MATCH($C438,'Shultis Faw'!$A$2:$A$26,1)+1)-INDEX('Shultis Faw'!$A$2:$A$26,MATCH($C438,'Shultis Faw'!$A$2:$A$26,1))),$C438*'Shultis Faw'!$E$2/'Shultis Faw'!$A$2)</f>
        <v>7.9806706000000005E-2</v>
      </c>
      <c r="M438" s="83">
        <f>_xlfn.IFNA(INDEX('Shultis Faw'!$F$2:$F$26,MATCH($C438,'Shultis Faw'!$A$2:$A$26,1))+($C438-INDEX('Shultis Faw'!$A$2:$A$26,MATCH($C438,'Shultis Faw'!$A$2:$A$26,1)))*(INDEX('Shultis Faw'!$F$2:$F$26,MATCH($C438,'Shultis Faw'!$A$2:$A$26,1)+1)-INDEX('Shultis Faw'!$F$2:$F$26,MATCH($C438,'Shultis Faw'!$A$2:$A$26,1)))/(INDEX('Shultis Faw'!$A$2:$A$26,MATCH($C438,'Shultis Faw'!$A$2:$A$26,1)+1)-INDEX('Shultis Faw'!$A$2:$A$26,MATCH($C438,'Shultis Faw'!$A$2:$A$26,1))),$C438*'Shultis Faw'!$F$2/'Shultis Faw'!$A$2)</f>
        <v>13.820251599999999</v>
      </c>
      <c r="N438" s="83">
        <f>J438*(H438*'Externe blootstelling'!$D$23/2)^K438+L438*(TANH(((H438*'Externe blootstelling'!$D$23)/(2*M438))-2)-TANH(-2))/(1-TANH(-2))</f>
        <v>1.9018127464248451</v>
      </c>
      <c r="O438" s="83">
        <f>IF(N438=1,1+(I438-1)*H438*'Externe blootstelling'!$D$23/2,1+(I438-1)*(N438^(H438*'Externe blootstelling'!$D$23/2)-1)/(N438-1))</f>
        <v>13.948936021733942</v>
      </c>
      <c r="P438" s="67">
        <f>G438*EXP(-H438*'Externe blootstelling'!$D$23/2)*O438</f>
        <v>0.12969609946457275</v>
      </c>
      <c r="Q438" s="68"/>
    </row>
    <row r="439" spans="1:17" x14ac:dyDescent="0.2">
      <c r="A439" s="217"/>
      <c r="B439" s="77"/>
      <c r="C439" s="66">
        <v>0.13672479999999998</v>
      </c>
      <c r="D439" s="66">
        <f t="shared" si="33"/>
        <v>2.1875967999999998E-14</v>
      </c>
      <c r="E439" s="66">
        <v>1.4E-2</v>
      </c>
      <c r="F439" s="66">
        <f>_xlfn.IFNA(INDEX('hp (pSv cm2)'!$B$2:$B$52,MATCH($C439,'hp (pSv cm2)'!$A$2:$A$52,1))+($C439-INDEX('hp (pSv cm2)'!$A$2:$A$52,MATCH($C439,'hp (pSv cm2)'!$A$2:$A$52,1)))*(INDEX('hp (pSv cm2)'!$B$2:$B$52,MATCH($C439,'hp (pSv cm2)'!$A$2:$A$52,1)+1)-INDEX('hp (pSv cm2)'!$B$2:$B$52,MATCH($C439,'hp (pSv cm2)'!$A$2:$A$52,1)))/(INDEX('hp (pSv cm2)'!$A$2:$A$52,MATCH($C439,'hp (pSv cm2)'!$A$2:$A$52,1)+1)-INDEX('hp (pSv cm2)'!$A$2:$A$52,MATCH($C439,'hp (pSv cm2)'!$A$2:$A$52,1))),$C439*'hp (pSv cm2)'!$B$2/'hp (pSv cm2)'!$A$2)</f>
        <v>0.68619958399999992</v>
      </c>
      <c r="G439" s="67">
        <f t="shared" si="34"/>
        <v>9.6067941759999994E-3</v>
      </c>
      <c r="H439" s="83">
        <f>_xlfn.IFNA(0.997*(INDEX('Mass attenuation coefficients'!$B$2:$B$37,MATCH($C439,'Mass attenuation coefficients'!$A$2:$A$37,1))+($C439-INDEX('Mass attenuation coefficients'!$A$2:$A$37,MATCH($C439,'Mass attenuation coefficients'!$A$2:$A$37,1)))*(INDEX('Mass attenuation coefficients'!$B$2:$B$37,MATCH($C439,'Mass attenuation coefficients'!$A$2:$A$37,1)+1)-INDEX('Mass attenuation coefficients'!$B$2:$B$37,MATCH($C439,'Mass attenuation coefficients'!$A$2:$A$37,1)))/(INDEX('Mass attenuation coefficients'!$A$2:$A$37,MATCH($C439,'Mass attenuation coefficients'!$A$2:$A$37,1)+1)-INDEX('Mass attenuation coefficients'!$A$2:$A$37,MATCH($C439,'Mass attenuation coefficients'!$A$2:$A$37,1)))),0.997*$C439*'Mass attenuation coefficients'!$B$2/'Mass attenuation coefficients'!$A$2)</f>
        <v>0.1553955912576</v>
      </c>
      <c r="I439" s="83">
        <f>_xlfn.IFNA(INDEX('Shultis Faw'!$C$2:$C$26,MATCH($C439,'Shultis Faw'!$A$2:$A$26,1))+($C439-INDEX('Shultis Faw'!$A$2:$A$26,MATCH($C439,'Shultis Faw'!$A$2:$A$26,1)))*(INDEX('Shultis Faw'!$C$2:$C$26,MATCH($C439,'Shultis Faw'!$A$2:$A$26,1)+1)-INDEX('Shultis Faw'!$C$2:$C$26,MATCH($C439,'Shultis Faw'!$A$2:$A$26,1)))/(INDEX('Shultis Faw'!$A$2:$A$26,MATCH($C439,'Shultis Faw'!$A$2:$A$26,1)+1)-INDEX('Shultis Faw'!$A$2:$A$26,MATCH($C439,'Shultis Faw'!$A$2:$A$26,1))),$C439*'Shultis Faw'!$C$2/'Shultis Faw'!$A$2)</f>
        <v>4.1003760640000007</v>
      </c>
      <c r="J439" s="83">
        <f>_xlfn.IFNA(INDEX('Shultis Faw'!$D$2:$D$26,MATCH($C439,'Shultis Faw'!$A$2:$A$26,1))+($C439-INDEX('Shultis Faw'!$A$2:$A$26,MATCH($C439,'Shultis Faw'!$A$2:$A$26,1)))*(INDEX('Shultis Faw'!$D$2:$D$26,MATCH($C439,'Shultis Faw'!$A$2:$A$26,1)+1)-INDEX('Shultis Faw'!$D$2:$D$26,MATCH($C439,'Shultis Faw'!$A$2:$A$26,1)))/(INDEX('Shultis Faw'!$A$2:$A$26,MATCH($C439,'Shultis Faw'!$A$2:$A$26,1)+1)-INDEX('Shultis Faw'!$A$2:$A$26,MATCH($C439,'Shultis Faw'!$A$2:$A$26,1))),$C439*'Shultis Faw'!$D$2/'Shultis Faw'!$A$2)</f>
        <v>2.2364244160000002</v>
      </c>
      <c r="K439" s="83">
        <f>_xlfn.IFNA(INDEX('Shultis Faw'!$B$2:$B$26,MATCH($C439,'Shultis Faw'!$A$2:$A$26,1))+($C439-INDEX('Shultis Faw'!$A$2:$A$26,MATCH($C439,'Shultis Faw'!$A$2:$A$26,1)))*(INDEX('Shultis Faw'!$B$2:$B$26,MATCH($C439,'Shultis Faw'!$A$2:$A$26,1)+1)-INDEX('Shultis Faw'!$B$2:$B$26,MATCH($C439,'Shultis Faw'!$A$2:$A$26,1)))/(INDEX('Shultis Faw'!$A$2:$A$26,MATCH($C439,'Shultis Faw'!$A$2:$A$26,1)+1)-INDEX('Shultis Faw'!$A$2:$A$26,MATCH($C439,'Shultis Faw'!$A$2:$A$26,1))),$C439*'Shultis Faw'!$B$2/'Shultis Faw'!$A$2)</f>
        <v>-0.185265504</v>
      </c>
      <c r="L439" s="83">
        <f>_xlfn.IFNA(INDEX('Shultis Faw'!$E$2:$E$26,MATCH($C439,'Shultis Faw'!$A$2:$A$26,1))+($C439-INDEX('Shultis Faw'!$A$2:$A$26,MATCH($C439,'Shultis Faw'!$A$2:$A$26,1)))*(INDEX('Shultis Faw'!$E$2:$E$26,MATCH($C439,'Shultis Faw'!$A$2:$A$26,1)+1)-INDEX('Shultis Faw'!$E$2:$E$26,MATCH($C439,'Shultis Faw'!$A$2:$A$26,1)))/(INDEX('Shultis Faw'!$A$2:$A$26,MATCH($C439,'Shultis Faw'!$A$2:$A$26,1)+1)-INDEX('Shultis Faw'!$A$2:$A$26,MATCH($C439,'Shultis Faw'!$A$2:$A$26,1))),$C439*'Shultis Faw'!$E$2/'Shultis Faw'!$A$2)</f>
        <v>7.9000969600000012E-2</v>
      </c>
      <c r="M439" s="83">
        <f>_xlfn.IFNA(INDEX('Shultis Faw'!$F$2:$F$26,MATCH($C439,'Shultis Faw'!$A$2:$A$26,1))+($C439-INDEX('Shultis Faw'!$A$2:$A$26,MATCH($C439,'Shultis Faw'!$A$2:$A$26,1)))*(INDEX('Shultis Faw'!$F$2:$F$26,MATCH($C439,'Shultis Faw'!$A$2:$A$26,1)+1)-INDEX('Shultis Faw'!$F$2:$F$26,MATCH($C439,'Shultis Faw'!$A$2:$A$26,1)))/(INDEX('Shultis Faw'!$A$2:$A$26,MATCH($C439,'Shultis Faw'!$A$2:$A$26,1)+1)-INDEX('Shultis Faw'!$A$2:$A$26,MATCH($C439,'Shultis Faw'!$A$2:$A$26,1))),$C439*'Shultis Faw'!$F$2/'Shultis Faw'!$A$2)</f>
        <v>13.961666559999999</v>
      </c>
      <c r="N439" s="83">
        <f>J439*(H439*'Externe blootstelling'!$D$23/2)^K439+L439*(TANH(((H439*'Externe blootstelling'!$D$23)/(2*M439))-2)-TANH(-2))/(1-TANH(-2))</f>
        <v>1.9124523709009886</v>
      </c>
      <c r="O439" s="83">
        <f>IF(N439=1,1+(I439-1)*H439*'Externe blootstelling'!$D$23/2,1+(I439-1)*(N439^(H439*'Externe blootstelling'!$D$23/2)-1)/(N439-1))</f>
        <v>13.004014921057442</v>
      </c>
      <c r="P439" s="67">
        <f>G439*EXP(-H439*'Externe blootstelling'!$D$23/2)*O439</f>
        <v>1.2143509819329112E-2</v>
      </c>
      <c r="Q439" s="68"/>
    </row>
    <row r="440" spans="1:17" x14ac:dyDescent="0.2">
      <c r="A440" s="217"/>
      <c r="B440" s="77"/>
      <c r="C440" s="66">
        <v>0.14576939999999999</v>
      </c>
      <c r="D440" s="66">
        <f t="shared" si="33"/>
        <v>2.3323103999999998E-14</v>
      </c>
      <c r="E440" s="66">
        <v>9.1000000000000004E-3</v>
      </c>
      <c r="F440" s="66">
        <f>_xlfn.IFNA(INDEX('hp (pSv cm2)'!$B$2:$B$52,MATCH($C440,'hp (pSv cm2)'!$A$2:$A$52,1))+($C440-INDEX('hp (pSv cm2)'!$A$2:$A$52,MATCH($C440,'hp (pSv cm2)'!$A$2:$A$52,1)))*(INDEX('hp (pSv cm2)'!$B$2:$B$52,MATCH($C440,'hp (pSv cm2)'!$A$2:$A$52,1)+1)-INDEX('hp (pSv cm2)'!$B$2:$B$52,MATCH($C440,'hp (pSv cm2)'!$A$2:$A$52,1)))/(INDEX('hp (pSv cm2)'!$A$2:$A$52,MATCH($C440,'hp (pSv cm2)'!$A$2:$A$52,1)+1)-INDEX('hp (pSv cm2)'!$A$2:$A$52,MATCH($C440,'hp (pSv cm2)'!$A$2:$A$52,1))),$C440*'hp (pSv cm2)'!$B$2/'hp (pSv cm2)'!$A$2)</f>
        <v>0.72762385200000002</v>
      </c>
      <c r="G440" s="67">
        <f t="shared" si="34"/>
        <v>6.6213770532000003E-3</v>
      </c>
      <c r="H440" s="83">
        <f>_xlfn.IFNA(0.997*(INDEX('Mass attenuation coefficients'!$B$2:$B$37,MATCH($C440,'Mass attenuation coefficients'!$A$2:$A$37,1))+($C440-INDEX('Mass attenuation coefficients'!$A$2:$A$37,MATCH($C440,'Mass attenuation coefficients'!$A$2:$A$37,1)))*(INDEX('Mass attenuation coefficients'!$B$2:$B$37,MATCH($C440,'Mass attenuation coefficients'!$A$2:$A$37,1)+1)-INDEX('Mass attenuation coefficients'!$B$2:$B$37,MATCH($C440,'Mass attenuation coefficients'!$A$2:$A$37,1)))/(INDEX('Mass attenuation coefficients'!$A$2:$A$37,MATCH($C440,'Mass attenuation coefficients'!$A$2:$A$37,1)+1)-INDEX('Mass attenuation coefficients'!$A$2:$A$37,MATCH($C440,'Mass attenuation coefficients'!$A$2:$A$37,1)))),0.997*$C440*'Mass attenuation coefficients'!$B$2/'Mass attenuation coefficients'!$A$2)</f>
        <v>0.1517525349128</v>
      </c>
      <c r="I440" s="83">
        <f>_xlfn.IFNA(INDEX('Shultis Faw'!$C$2:$C$26,MATCH($C440,'Shultis Faw'!$A$2:$A$26,1))+($C440-INDEX('Shultis Faw'!$A$2:$A$26,MATCH($C440,'Shultis Faw'!$A$2:$A$26,1)))*(INDEX('Shultis Faw'!$C$2:$C$26,MATCH($C440,'Shultis Faw'!$A$2:$A$26,1)+1)-INDEX('Shultis Faw'!$C$2:$C$26,MATCH($C440,'Shultis Faw'!$A$2:$A$26,1)))/(INDEX('Shultis Faw'!$A$2:$A$26,MATCH($C440,'Shultis Faw'!$A$2:$A$26,1)+1)-INDEX('Shultis Faw'!$A$2:$A$26,MATCH($C440,'Shultis Faw'!$A$2:$A$26,1))),$C440*'Shultis Faw'!$C$2/'Shultis Faw'!$A$2)</f>
        <v>3.9618127919999999</v>
      </c>
      <c r="J440" s="83">
        <f>_xlfn.IFNA(INDEX('Shultis Faw'!$D$2:$D$26,MATCH($C440,'Shultis Faw'!$A$2:$A$26,1))+($C440-INDEX('Shultis Faw'!$A$2:$A$26,MATCH($C440,'Shultis Faw'!$A$2:$A$26,1)))*(INDEX('Shultis Faw'!$D$2:$D$26,MATCH($C440,'Shultis Faw'!$A$2:$A$26,1)+1)-INDEX('Shultis Faw'!$D$2:$D$26,MATCH($C440,'Shultis Faw'!$A$2:$A$26,1)))/(INDEX('Shultis Faw'!$A$2:$A$26,MATCH($C440,'Shultis Faw'!$A$2:$A$26,1)+1)-INDEX('Shultis Faw'!$A$2:$A$26,MATCH($C440,'Shultis Faw'!$A$2:$A$26,1))),$C440*'Shultis Faw'!$D$2/'Shultis Faw'!$A$2)</f>
        <v>2.2402231480000001</v>
      </c>
      <c r="K440" s="83">
        <f>_xlfn.IFNA(INDEX('Shultis Faw'!$B$2:$B$26,MATCH($C440,'Shultis Faw'!$A$2:$A$26,1))+($C440-INDEX('Shultis Faw'!$A$2:$A$26,MATCH($C440,'Shultis Faw'!$A$2:$A$26,1)))*(INDEX('Shultis Faw'!$B$2:$B$26,MATCH($C440,'Shultis Faw'!$A$2:$A$26,1)+1)-INDEX('Shultis Faw'!$B$2:$B$26,MATCH($C440,'Shultis Faw'!$A$2:$A$26,1)))/(INDEX('Shultis Faw'!$A$2:$A$26,MATCH($C440,'Shultis Faw'!$A$2:$A$26,1)+1)-INDEX('Shultis Faw'!$A$2:$A$26,MATCH($C440,'Shultis Faw'!$A$2:$A$26,1))),$C440*'Shultis Faw'!$B$2/'Shultis Faw'!$A$2)</f>
        <v>-0.18508461200000001</v>
      </c>
      <c r="L440" s="83">
        <f>_xlfn.IFNA(INDEX('Shultis Faw'!$E$2:$E$26,MATCH($C440,'Shultis Faw'!$A$2:$A$26,1))+($C440-INDEX('Shultis Faw'!$A$2:$A$26,MATCH($C440,'Shultis Faw'!$A$2:$A$26,1)))*(INDEX('Shultis Faw'!$E$2:$E$26,MATCH($C440,'Shultis Faw'!$A$2:$A$26,1)+1)-INDEX('Shultis Faw'!$E$2:$E$26,MATCH($C440,'Shultis Faw'!$A$2:$A$26,1)))/(INDEX('Shultis Faw'!$A$2:$A$26,MATCH($C440,'Shultis Faw'!$A$2:$A$26,1)+1)-INDEX('Shultis Faw'!$A$2:$A$26,MATCH($C440,'Shultis Faw'!$A$2:$A$26,1))),$C440*'Shultis Faw'!$E$2/'Shultis Faw'!$A$2)</f>
        <v>7.8114598800000004E-2</v>
      </c>
      <c r="M440" s="83">
        <f>_xlfn.IFNA(INDEX('Shultis Faw'!$F$2:$F$26,MATCH($C440,'Shultis Faw'!$A$2:$A$26,1))+($C440-INDEX('Shultis Faw'!$A$2:$A$26,MATCH($C440,'Shultis Faw'!$A$2:$A$26,1)))*(INDEX('Shultis Faw'!$F$2:$F$26,MATCH($C440,'Shultis Faw'!$A$2:$A$26,1)+1)-INDEX('Shultis Faw'!$F$2:$F$26,MATCH($C440,'Shultis Faw'!$A$2:$A$26,1)))/(INDEX('Shultis Faw'!$A$2:$A$26,MATCH($C440,'Shultis Faw'!$A$2:$A$26,1)+1)-INDEX('Shultis Faw'!$A$2:$A$26,MATCH($C440,'Shultis Faw'!$A$2:$A$26,1))),$C440*'Shultis Faw'!$F$2/'Shultis Faw'!$A$2)</f>
        <v>14.11723368</v>
      </c>
      <c r="N440" s="83">
        <f>J440*(H440*'Externe blootstelling'!$D$23/2)^K440+L440*(TANH(((H440*'Externe blootstelling'!$D$23)/(2*M440))-2)-TANH(-2))/(1-TANH(-2))</f>
        <v>1.9243934949050729</v>
      </c>
      <c r="O440" s="83">
        <f>IF(N440=1,1+(I440-1)*H440*'Externe blootstelling'!$D$23/2,1+(I440-1)*(N440^(H440*'Externe blootstelling'!$D$23/2)-1)/(N440-1))</f>
        <v>12.013840141447551</v>
      </c>
      <c r="P440" s="67">
        <f>G440*EXP(-H440*'Externe blootstelling'!$D$23/2)*O440</f>
        <v>8.1667796952430323E-3</v>
      </c>
      <c r="Q440" s="68"/>
    </row>
    <row r="441" spans="1:17" x14ac:dyDescent="0.2">
      <c r="A441" s="217"/>
      <c r="B441" s="77"/>
      <c r="C441" s="66">
        <v>0.14716399999999999</v>
      </c>
      <c r="D441" s="66">
        <f t="shared" si="33"/>
        <v>2.354624E-14</v>
      </c>
      <c r="E441" s="66">
        <v>3.5099999999999999E-2</v>
      </c>
      <c r="F441" s="66">
        <f>_xlfn.IFNA(INDEX('hp (pSv cm2)'!$B$2:$B$52,MATCH($C441,'hp (pSv cm2)'!$A$2:$A$52,1))+($C441-INDEX('hp (pSv cm2)'!$A$2:$A$52,MATCH($C441,'hp (pSv cm2)'!$A$2:$A$52,1)))*(INDEX('hp (pSv cm2)'!$B$2:$B$52,MATCH($C441,'hp (pSv cm2)'!$A$2:$A$52,1)+1)-INDEX('hp (pSv cm2)'!$B$2:$B$52,MATCH($C441,'hp (pSv cm2)'!$A$2:$A$52,1)))/(INDEX('hp (pSv cm2)'!$A$2:$A$52,MATCH($C441,'hp (pSv cm2)'!$A$2:$A$52,1)+1)-INDEX('hp (pSv cm2)'!$A$2:$A$52,MATCH($C441,'hp (pSv cm2)'!$A$2:$A$52,1))),$C441*'hp (pSv cm2)'!$B$2/'hp (pSv cm2)'!$A$2)</f>
        <v>0.73401112000000002</v>
      </c>
      <c r="G441" s="67">
        <f t="shared" si="34"/>
        <v>2.5763790312E-2</v>
      </c>
      <c r="H441" s="83">
        <f>_xlfn.IFNA(0.997*(INDEX('Mass attenuation coefficients'!$B$2:$B$37,MATCH($C441,'Mass attenuation coefficients'!$A$2:$A$37,1))+($C441-INDEX('Mass attenuation coefficients'!$A$2:$A$37,MATCH($C441,'Mass attenuation coefficients'!$A$2:$A$37,1)))*(INDEX('Mass attenuation coefficients'!$B$2:$B$37,MATCH($C441,'Mass attenuation coefficients'!$A$2:$A$37,1)+1)-INDEX('Mass attenuation coefficients'!$B$2:$B$37,MATCH($C441,'Mass attenuation coefficients'!$A$2:$A$37,1)))/(INDEX('Mass attenuation coefficients'!$A$2:$A$37,MATCH($C441,'Mass attenuation coefficients'!$A$2:$A$37,1)+1)-INDEX('Mass attenuation coefficients'!$A$2:$A$37,MATCH($C441,'Mass attenuation coefficients'!$A$2:$A$37,1)))),0.997*$C441*'Mass attenuation coefficients'!$B$2/'Mass attenuation coefficients'!$A$2)</f>
        <v>0.15119080676800001</v>
      </c>
      <c r="I441" s="83">
        <f>_xlfn.IFNA(INDEX('Shultis Faw'!$C$2:$C$26,MATCH($C441,'Shultis Faw'!$A$2:$A$26,1))+($C441-INDEX('Shultis Faw'!$A$2:$A$26,MATCH($C441,'Shultis Faw'!$A$2:$A$26,1)))*(INDEX('Shultis Faw'!$C$2:$C$26,MATCH($C441,'Shultis Faw'!$A$2:$A$26,1)+1)-INDEX('Shultis Faw'!$C$2:$C$26,MATCH($C441,'Shultis Faw'!$A$2:$A$26,1)))/(INDEX('Shultis Faw'!$A$2:$A$26,MATCH($C441,'Shultis Faw'!$A$2:$A$26,1)+1)-INDEX('Shultis Faw'!$A$2:$A$26,MATCH($C441,'Shultis Faw'!$A$2:$A$26,1))),$C441*'Shultis Faw'!$C$2/'Shultis Faw'!$A$2)</f>
        <v>3.9404475199999998</v>
      </c>
      <c r="J441" s="83">
        <f>_xlfn.IFNA(INDEX('Shultis Faw'!$D$2:$D$26,MATCH($C441,'Shultis Faw'!$A$2:$A$26,1))+($C441-INDEX('Shultis Faw'!$A$2:$A$26,MATCH($C441,'Shultis Faw'!$A$2:$A$26,1)))*(INDEX('Shultis Faw'!$D$2:$D$26,MATCH($C441,'Shultis Faw'!$A$2:$A$26,1)+1)-INDEX('Shultis Faw'!$D$2:$D$26,MATCH($C441,'Shultis Faw'!$A$2:$A$26,1)))/(INDEX('Shultis Faw'!$A$2:$A$26,MATCH($C441,'Shultis Faw'!$A$2:$A$26,1)+1)-INDEX('Shultis Faw'!$A$2:$A$26,MATCH($C441,'Shultis Faw'!$A$2:$A$26,1))),$C441*'Shultis Faw'!$D$2/'Shultis Faw'!$A$2)</f>
        <v>2.2408088799999999</v>
      </c>
      <c r="K441" s="83">
        <f>_xlfn.IFNA(INDEX('Shultis Faw'!$B$2:$B$26,MATCH($C441,'Shultis Faw'!$A$2:$A$26,1))+($C441-INDEX('Shultis Faw'!$A$2:$A$26,MATCH($C441,'Shultis Faw'!$A$2:$A$26,1)))*(INDEX('Shultis Faw'!$B$2:$B$26,MATCH($C441,'Shultis Faw'!$A$2:$A$26,1)+1)-INDEX('Shultis Faw'!$B$2:$B$26,MATCH($C441,'Shultis Faw'!$A$2:$A$26,1)))/(INDEX('Shultis Faw'!$A$2:$A$26,MATCH($C441,'Shultis Faw'!$A$2:$A$26,1)+1)-INDEX('Shultis Faw'!$A$2:$A$26,MATCH($C441,'Shultis Faw'!$A$2:$A$26,1))),$C441*'Shultis Faw'!$B$2/'Shultis Faw'!$A$2)</f>
        <v>-0.18505672000000001</v>
      </c>
      <c r="L441" s="83">
        <f>_xlfn.IFNA(INDEX('Shultis Faw'!$E$2:$E$26,MATCH($C441,'Shultis Faw'!$A$2:$A$26,1))+($C441-INDEX('Shultis Faw'!$A$2:$A$26,MATCH($C441,'Shultis Faw'!$A$2:$A$26,1)))*(INDEX('Shultis Faw'!$E$2:$E$26,MATCH($C441,'Shultis Faw'!$A$2:$A$26,1)+1)-INDEX('Shultis Faw'!$E$2:$E$26,MATCH($C441,'Shultis Faw'!$A$2:$A$26,1)))/(INDEX('Shultis Faw'!$A$2:$A$26,MATCH($C441,'Shultis Faw'!$A$2:$A$26,1)+1)-INDEX('Shultis Faw'!$A$2:$A$26,MATCH($C441,'Shultis Faw'!$A$2:$A$26,1))),$C441*'Shultis Faw'!$E$2/'Shultis Faw'!$A$2)</f>
        <v>7.7977928000000002E-2</v>
      </c>
      <c r="M441" s="83">
        <f>_xlfn.IFNA(INDEX('Shultis Faw'!$F$2:$F$26,MATCH($C441,'Shultis Faw'!$A$2:$A$26,1))+($C441-INDEX('Shultis Faw'!$A$2:$A$26,MATCH($C441,'Shultis Faw'!$A$2:$A$26,1)))*(INDEX('Shultis Faw'!$F$2:$F$26,MATCH($C441,'Shultis Faw'!$A$2:$A$26,1)+1)-INDEX('Shultis Faw'!$F$2:$F$26,MATCH($C441,'Shultis Faw'!$A$2:$A$26,1)))/(INDEX('Shultis Faw'!$A$2:$A$26,MATCH($C441,'Shultis Faw'!$A$2:$A$26,1)+1)-INDEX('Shultis Faw'!$A$2:$A$26,MATCH($C441,'Shultis Faw'!$A$2:$A$26,1))),$C441*'Shultis Faw'!$F$2/'Shultis Faw'!$A$2)</f>
        <v>14.141220799999999</v>
      </c>
      <c r="N441" s="83">
        <f>J441*(H441*'Externe blootstelling'!$D$23/2)^K441+L441*(TANH(((H441*'Externe blootstelling'!$D$23)/(2*M441))-2)-TANH(-2))/(1-TANH(-2))</f>
        <v>1.9262575470506627</v>
      </c>
      <c r="O441" s="83">
        <f>IF(N441=1,1+(I441-1)*H441*'Externe blootstelling'!$D$23/2,1+(I441-1)*(N441^(H441*'Externe blootstelling'!$D$23/2)-1)/(N441-1))</f>
        <v>11.865694715212475</v>
      </c>
      <c r="P441" s="67">
        <f>G441*EXP(-H441*'Externe blootstelling'!$D$23/2)*O441</f>
        <v>3.1650671606104262E-2</v>
      </c>
      <c r="Q441" s="68"/>
    </row>
    <row r="442" spans="1:17" x14ac:dyDescent="0.2">
      <c r="A442" s="217"/>
      <c r="B442" s="77"/>
      <c r="C442" s="66">
        <v>0.15328430000000001</v>
      </c>
      <c r="D442" s="66">
        <f t="shared" si="33"/>
        <v>2.4525488000000002E-14</v>
      </c>
      <c r="E442" s="66">
        <v>0.16900000000000001</v>
      </c>
      <c r="F442" s="66">
        <f>_xlfn.IFNA(INDEX('hp (pSv cm2)'!$B$2:$B$52,MATCH($C442,'hp (pSv cm2)'!$A$2:$A$52,1))+($C442-INDEX('hp (pSv cm2)'!$A$2:$A$52,MATCH($C442,'hp (pSv cm2)'!$A$2:$A$52,1)))*(INDEX('hp (pSv cm2)'!$B$2:$B$52,MATCH($C442,'hp (pSv cm2)'!$A$2:$A$52,1)+1)-INDEX('hp (pSv cm2)'!$B$2:$B$52,MATCH($C442,'hp (pSv cm2)'!$A$2:$A$52,1)))/(INDEX('hp (pSv cm2)'!$A$2:$A$52,MATCH($C442,'hp (pSv cm2)'!$A$2:$A$52,1)+1)-INDEX('hp (pSv cm2)'!$A$2:$A$52,MATCH($C442,'hp (pSv cm2)'!$A$2:$A$52,1))),$C442*'hp (pSv cm2)'!$B$2/'hp (pSv cm2)'!$A$2)</f>
        <v>0.76361855800000011</v>
      </c>
      <c r="G442" s="67">
        <f t="shared" si="34"/>
        <v>0.12905153630200003</v>
      </c>
      <c r="H442" s="83">
        <f>_xlfn.IFNA(0.997*(INDEX('Mass attenuation coefficients'!$B$2:$B$37,MATCH($C442,'Mass attenuation coefficients'!$A$2:$A$37,1))+($C442-INDEX('Mass attenuation coefficients'!$A$2:$A$37,MATCH($C442,'Mass attenuation coefficients'!$A$2:$A$37,1)))*(INDEX('Mass attenuation coefficients'!$B$2:$B$37,MATCH($C442,'Mass attenuation coefficients'!$A$2:$A$37,1)+1)-INDEX('Mass attenuation coefficients'!$B$2:$B$37,MATCH($C442,'Mass attenuation coefficients'!$A$2:$A$37,1)))/(INDEX('Mass attenuation coefficients'!$A$2:$A$37,MATCH($C442,'Mass attenuation coefficients'!$A$2:$A$37,1)+1)-INDEX('Mass attenuation coefficients'!$A$2:$A$37,MATCH($C442,'Mass attenuation coefficients'!$A$2:$A$37,1)))),0.997*$C442*'Mass attenuation coefficients'!$B$2/'Mass attenuation coefficients'!$A$2)</f>
        <v>0.14916439928299999</v>
      </c>
      <c r="I442" s="83">
        <f>_xlfn.IFNA(INDEX('Shultis Faw'!$C$2:$C$26,MATCH($C442,'Shultis Faw'!$A$2:$A$26,1))+($C442-INDEX('Shultis Faw'!$A$2:$A$26,MATCH($C442,'Shultis Faw'!$A$2:$A$26,1)))*(INDEX('Shultis Faw'!$C$2:$C$26,MATCH($C442,'Shultis Faw'!$A$2:$A$26,1)+1)-INDEX('Shultis Faw'!$C$2:$C$26,MATCH($C442,'Shultis Faw'!$A$2:$A$26,1)))/(INDEX('Shultis Faw'!$A$2:$A$26,MATCH($C442,'Shultis Faw'!$A$2:$A$26,1)+1)-INDEX('Shultis Faw'!$A$2:$A$26,MATCH($C442,'Shultis Faw'!$A$2:$A$26,1))),$C442*'Shultis Faw'!$C$2/'Shultis Faw'!$A$2)</f>
        <v>3.8694775659999996</v>
      </c>
      <c r="J442" s="83">
        <f>_xlfn.IFNA(INDEX('Shultis Faw'!$D$2:$D$26,MATCH($C442,'Shultis Faw'!$A$2:$A$26,1))+($C442-INDEX('Shultis Faw'!$A$2:$A$26,MATCH($C442,'Shultis Faw'!$A$2:$A$26,1)))*(INDEX('Shultis Faw'!$D$2:$D$26,MATCH($C442,'Shultis Faw'!$A$2:$A$26,1)+1)-INDEX('Shultis Faw'!$D$2:$D$26,MATCH($C442,'Shultis Faw'!$A$2:$A$26,1)))/(INDEX('Shultis Faw'!$A$2:$A$26,MATCH($C442,'Shultis Faw'!$A$2:$A$26,1)+1)-INDEX('Shultis Faw'!$A$2:$A$26,MATCH($C442,'Shultis Faw'!$A$2:$A$26,1))),$C442*'Shultis Faw'!$D$2/'Shultis Faw'!$A$2)</f>
        <v>2.2362196320000001</v>
      </c>
      <c r="K442" s="83">
        <f>_xlfn.IFNA(INDEX('Shultis Faw'!$B$2:$B$26,MATCH($C442,'Shultis Faw'!$A$2:$A$26,1))+($C442-INDEX('Shultis Faw'!$A$2:$A$26,MATCH($C442,'Shultis Faw'!$A$2:$A$26,1)))*(INDEX('Shultis Faw'!$B$2:$B$26,MATCH($C442,'Shultis Faw'!$A$2:$A$26,1)+1)-INDEX('Shultis Faw'!$B$2:$B$26,MATCH($C442,'Shultis Faw'!$A$2:$A$26,1)))/(INDEX('Shultis Faw'!$A$2:$A$26,MATCH($C442,'Shultis Faw'!$A$2:$A$26,1)+1)-INDEX('Shultis Faw'!$A$2:$A$26,MATCH($C442,'Shultis Faw'!$A$2:$A$26,1))),$C442*'Shultis Faw'!$B$2/'Shultis Faw'!$A$2)</f>
        <v>-0.184408826</v>
      </c>
      <c r="L442" s="83">
        <f>_xlfn.IFNA(INDEX('Shultis Faw'!$E$2:$E$26,MATCH($C442,'Shultis Faw'!$A$2:$A$26,1))+($C442-INDEX('Shultis Faw'!$A$2:$A$26,MATCH($C442,'Shultis Faw'!$A$2:$A$26,1)))*(INDEX('Shultis Faw'!$E$2:$E$26,MATCH($C442,'Shultis Faw'!$A$2:$A$26,1)+1)-INDEX('Shultis Faw'!$E$2:$E$26,MATCH($C442,'Shultis Faw'!$A$2:$A$26,1)))/(INDEX('Shultis Faw'!$A$2:$A$26,MATCH($C442,'Shultis Faw'!$A$2:$A$26,1)+1)-INDEX('Shultis Faw'!$A$2:$A$26,MATCH($C442,'Shultis Faw'!$A$2:$A$26,1))),$C442*'Shultis Faw'!$E$2/'Shultis Faw'!$A$2)</f>
        <v>7.76802942E-2</v>
      </c>
      <c r="M442" s="83">
        <f>_xlfn.IFNA(INDEX('Shultis Faw'!$F$2:$F$26,MATCH($C442,'Shultis Faw'!$A$2:$A$26,1))+($C442-INDEX('Shultis Faw'!$A$2:$A$26,MATCH($C442,'Shultis Faw'!$A$2:$A$26,1)))*(INDEX('Shultis Faw'!$F$2:$F$26,MATCH($C442,'Shultis Faw'!$A$2:$A$26,1)+1)-INDEX('Shultis Faw'!$F$2:$F$26,MATCH($C442,'Shultis Faw'!$A$2:$A$26,1)))/(INDEX('Shultis Faw'!$A$2:$A$26,MATCH($C442,'Shultis Faw'!$A$2:$A$26,1)+1)-INDEX('Shultis Faw'!$A$2:$A$26,MATCH($C442,'Shultis Faw'!$A$2:$A$26,1))),$C442*'Shultis Faw'!$F$2/'Shultis Faw'!$A$2)</f>
        <v>14.210362659999999</v>
      </c>
      <c r="N442" s="83">
        <f>J442*(H442*'Externe blootstelling'!$D$23/2)^K442+L442*(TANH(((H442*'Externe blootstelling'!$D$23)/(2*M442))-2)-TANH(-2))/(1-TANH(-2))</f>
        <v>1.9281108912775184</v>
      </c>
      <c r="O442" s="83">
        <f>IF(N442=1,1+(I442-1)*H442*'Externe blootstelling'!$D$23/2,1+(I442-1)*(N442^(H442*'Externe blootstelling'!$D$23/2)-1)/(N442-1))</f>
        <v>11.341356499603236</v>
      </c>
      <c r="P442" s="67">
        <f>G442*EXP(-H442*'Externe blootstelling'!$D$23/2)*O442</f>
        <v>0.15621007773501402</v>
      </c>
      <c r="Q442" s="68"/>
    </row>
    <row r="443" spans="1:17" x14ac:dyDescent="0.2">
      <c r="A443" s="217"/>
      <c r="B443" s="77"/>
      <c r="C443" s="66">
        <v>0.15973419999999999</v>
      </c>
      <c r="D443" s="66">
        <f t="shared" si="33"/>
        <v>2.5557471999999995E-14</v>
      </c>
      <c r="E443" s="66">
        <v>5.3E-3</v>
      </c>
      <c r="F443" s="66">
        <f>_xlfn.IFNA(INDEX('hp (pSv cm2)'!$B$2:$B$52,MATCH($C443,'hp (pSv cm2)'!$A$2:$A$52,1))+($C443-INDEX('hp (pSv cm2)'!$A$2:$A$52,MATCH($C443,'hp (pSv cm2)'!$A$2:$A$52,1)))*(INDEX('hp (pSv cm2)'!$B$2:$B$52,MATCH($C443,'hp (pSv cm2)'!$A$2:$A$52,1)+1)-INDEX('hp (pSv cm2)'!$B$2:$B$52,MATCH($C443,'hp (pSv cm2)'!$A$2:$A$52,1)))/(INDEX('hp (pSv cm2)'!$A$2:$A$52,MATCH($C443,'hp (pSv cm2)'!$A$2:$A$52,1)+1)-INDEX('hp (pSv cm2)'!$A$2:$A$52,MATCH($C443,'hp (pSv cm2)'!$A$2:$A$52,1))),$C443*'hp (pSv cm2)'!$B$2/'hp (pSv cm2)'!$A$2)</f>
        <v>0.79625505200000002</v>
      </c>
      <c r="G443" s="67">
        <f t="shared" si="34"/>
        <v>4.2201517756000001E-3</v>
      </c>
      <c r="H443" s="83">
        <f>_xlfn.IFNA(0.997*(INDEX('Mass attenuation coefficients'!$B$2:$B$37,MATCH($C443,'Mass attenuation coefficients'!$A$2:$A$37,1))+($C443-INDEX('Mass attenuation coefficients'!$A$2:$A$37,MATCH($C443,'Mass attenuation coefficients'!$A$2:$A$37,1)))*(INDEX('Mass attenuation coefficients'!$B$2:$B$37,MATCH($C443,'Mass attenuation coefficients'!$A$2:$A$37,1)+1)-INDEX('Mass attenuation coefficients'!$B$2:$B$37,MATCH($C443,'Mass attenuation coefficients'!$A$2:$A$37,1)))/(INDEX('Mass attenuation coefficients'!$A$2:$A$37,MATCH($C443,'Mass attenuation coefficients'!$A$2:$A$37,1)+1)-INDEX('Mass attenuation coefficients'!$A$2:$A$37,MATCH($C443,'Mass attenuation coefficients'!$A$2:$A$37,1)))),0.997*$C443*'Mass attenuation coefficients'!$B$2/'Mass attenuation coefficients'!$A$2)</f>
        <v>0.14742815070199999</v>
      </c>
      <c r="I443" s="83">
        <f>_xlfn.IFNA(INDEX('Shultis Faw'!$C$2:$C$26,MATCH($C443,'Shultis Faw'!$A$2:$A$26,1))+($C443-INDEX('Shultis Faw'!$A$2:$A$26,MATCH($C443,'Shultis Faw'!$A$2:$A$26,1)))*(INDEX('Shultis Faw'!$C$2:$C$26,MATCH($C443,'Shultis Faw'!$A$2:$A$26,1)+1)-INDEX('Shultis Faw'!$C$2:$C$26,MATCH($C443,'Shultis Faw'!$A$2:$A$26,1)))/(INDEX('Shultis Faw'!$A$2:$A$26,MATCH($C443,'Shultis Faw'!$A$2:$A$26,1)+1)-INDEX('Shultis Faw'!$A$2:$A$26,MATCH($C443,'Shultis Faw'!$A$2:$A$26,1))),$C443*'Shultis Faw'!$C$2/'Shultis Faw'!$A$2)</f>
        <v>3.8154274039999998</v>
      </c>
      <c r="J443" s="83">
        <f>_xlfn.IFNA(INDEX('Shultis Faw'!$D$2:$D$26,MATCH($C443,'Shultis Faw'!$A$2:$A$26,1))+($C443-INDEX('Shultis Faw'!$A$2:$A$26,MATCH($C443,'Shultis Faw'!$A$2:$A$26,1)))*(INDEX('Shultis Faw'!$D$2:$D$26,MATCH($C443,'Shultis Faw'!$A$2:$A$26,1)+1)-INDEX('Shultis Faw'!$D$2:$D$26,MATCH($C443,'Shultis Faw'!$A$2:$A$26,1)))/(INDEX('Shultis Faw'!$A$2:$A$26,MATCH($C443,'Shultis Faw'!$A$2:$A$26,1)+1)-INDEX('Shultis Faw'!$A$2:$A$26,MATCH($C443,'Shultis Faw'!$A$2:$A$26,1))),$C443*'Shultis Faw'!$D$2/'Shultis Faw'!$A$2)</f>
        <v>2.2248678079999999</v>
      </c>
      <c r="K443" s="83">
        <f>_xlfn.IFNA(INDEX('Shultis Faw'!$B$2:$B$26,MATCH($C443,'Shultis Faw'!$A$2:$A$26,1))+($C443-INDEX('Shultis Faw'!$A$2:$A$26,MATCH($C443,'Shultis Faw'!$A$2:$A$26,1)))*(INDEX('Shultis Faw'!$B$2:$B$26,MATCH($C443,'Shultis Faw'!$A$2:$A$26,1)+1)-INDEX('Shultis Faw'!$B$2:$B$26,MATCH($C443,'Shultis Faw'!$A$2:$A$26,1)))/(INDEX('Shultis Faw'!$A$2:$A$26,MATCH($C443,'Shultis Faw'!$A$2:$A$26,1)+1)-INDEX('Shultis Faw'!$A$2:$A$26,MATCH($C443,'Shultis Faw'!$A$2:$A$26,1))),$C443*'Shultis Faw'!$B$2/'Shultis Faw'!$A$2)</f>
        <v>-0.18324784399999999</v>
      </c>
      <c r="L443" s="83">
        <f>_xlfn.IFNA(INDEX('Shultis Faw'!$E$2:$E$26,MATCH($C443,'Shultis Faw'!$A$2:$A$26,1))+($C443-INDEX('Shultis Faw'!$A$2:$A$26,MATCH($C443,'Shultis Faw'!$A$2:$A$26,1)))*(INDEX('Shultis Faw'!$E$2:$E$26,MATCH($C443,'Shultis Faw'!$A$2:$A$26,1)+1)-INDEX('Shultis Faw'!$E$2:$E$26,MATCH($C443,'Shultis Faw'!$A$2:$A$26,1)))/(INDEX('Shultis Faw'!$A$2:$A$26,MATCH($C443,'Shultis Faw'!$A$2:$A$26,1)+1)-INDEX('Shultis Faw'!$A$2:$A$26,MATCH($C443,'Shultis Faw'!$A$2:$A$26,1))),$C443*'Shultis Faw'!$E$2/'Shultis Faw'!$A$2)</f>
        <v>7.7641594800000005E-2</v>
      </c>
      <c r="M443" s="83">
        <f>_xlfn.IFNA(INDEX('Shultis Faw'!$F$2:$F$26,MATCH($C443,'Shultis Faw'!$A$2:$A$26,1))+($C443-INDEX('Shultis Faw'!$A$2:$A$26,MATCH($C443,'Shultis Faw'!$A$2:$A$26,1)))*(INDEX('Shultis Faw'!$F$2:$F$26,MATCH($C443,'Shultis Faw'!$A$2:$A$26,1)+1)-INDEX('Shultis Faw'!$F$2:$F$26,MATCH($C443,'Shultis Faw'!$A$2:$A$26,1)))/(INDEX('Shultis Faw'!$A$2:$A$26,MATCH($C443,'Shultis Faw'!$A$2:$A$26,1)+1)-INDEX('Shultis Faw'!$A$2:$A$26,MATCH($C443,'Shultis Faw'!$A$2:$A$26,1))),$C443*'Shultis Faw'!$F$2/'Shultis Faw'!$A$2)</f>
        <v>14.250352039999999</v>
      </c>
      <c r="N443" s="83">
        <f>J443*(H443*'Externe blootstelling'!$D$23/2)^K443+L443*(TANH(((H443*'Externe blootstelling'!$D$23)/(2*M443))-2)-TANH(-2))/(1-TANH(-2))</f>
        <v>1.9242338147090536</v>
      </c>
      <c r="O443" s="83">
        <f>IF(N443=1,1+(I443-1)*H443*'Externe blootstelling'!$D$23/2,1+(I443-1)*(N443^(H443*'Externe blootstelling'!$D$23/2)-1)/(N443-1))</f>
        <v>10.906957420686744</v>
      </c>
      <c r="P443" s="67">
        <f>G443*EXP(-H443*'Externe blootstelling'!$D$23/2)*O443</f>
        <v>5.0422363995829885E-3</v>
      </c>
      <c r="Q443" s="68"/>
    </row>
    <row r="444" spans="1:17" x14ac:dyDescent="0.2">
      <c r="A444" s="217"/>
      <c r="B444" s="77"/>
      <c r="C444" s="66">
        <v>0.1718576</v>
      </c>
      <c r="D444" s="66">
        <f t="shared" si="33"/>
        <v>2.7497215999999999E-14</v>
      </c>
      <c r="E444" s="66">
        <v>4.8099999999999997E-2</v>
      </c>
      <c r="F444" s="66">
        <f>_xlfn.IFNA(INDEX('hp (pSv cm2)'!$B$2:$B$52,MATCH($C444,'hp (pSv cm2)'!$A$2:$A$52,1))+($C444-INDEX('hp (pSv cm2)'!$A$2:$A$52,MATCH($C444,'hp (pSv cm2)'!$A$2:$A$52,1)))*(INDEX('hp (pSv cm2)'!$B$2:$B$52,MATCH($C444,'hp (pSv cm2)'!$A$2:$A$52,1)+1)-INDEX('hp (pSv cm2)'!$B$2:$B$52,MATCH($C444,'hp (pSv cm2)'!$A$2:$A$52,1)))/(INDEX('hp (pSv cm2)'!$A$2:$A$52,MATCH($C444,'hp (pSv cm2)'!$A$2:$A$52,1)+1)-INDEX('hp (pSv cm2)'!$A$2:$A$52,MATCH($C444,'hp (pSv cm2)'!$A$2:$A$52,1))),$C444*'hp (pSv cm2)'!$B$2/'hp (pSv cm2)'!$A$2)</f>
        <v>0.85759945599999998</v>
      </c>
      <c r="G444" s="67">
        <f t="shared" si="34"/>
        <v>4.1250533833599994E-2</v>
      </c>
      <c r="H444" s="83">
        <f>_xlfn.IFNA(0.997*(INDEX('Mass attenuation coefficients'!$B$2:$B$37,MATCH($C444,'Mass attenuation coefficients'!$A$2:$A$37,1))+($C444-INDEX('Mass attenuation coefficients'!$A$2:$A$37,MATCH($C444,'Mass attenuation coefficients'!$A$2:$A$37,1)))*(INDEX('Mass attenuation coefficients'!$B$2:$B$37,MATCH($C444,'Mass attenuation coefficients'!$A$2:$A$37,1)+1)-INDEX('Mass attenuation coefficients'!$B$2:$B$37,MATCH($C444,'Mass attenuation coefficients'!$A$2:$A$37,1)))/(INDEX('Mass attenuation coefficients'!$A$2:$A$37,MATCH($C444,'Mass attenuation coefficients'!$A$2:$A$37,1)+1)-INDEX('Mass attenuation coefficients'!$A$2:$A$37,MATCH($C444,'Mass attenuation coefficients'!$A$2:$A$37,1)))),0.997*$C444*'Mass attenuation coefficients'!$B$2/'Mass attenuation coefficients'!$A$2)</f>
        <v>0.14416465265599998</v>
      </c>
      <c r="I444" s="83">
        <f>_xlfn.IFNA(INDEX('Shultis Faw'!$C$2:$C$26,MATCH($C444,'Shultis Faw'!$A$2:$A$26,1))+($C444-INDEX('Shultis Faw'!$A$2:$A$26,MATCH($C444,'Shultis Faw'!$A$2:$A$26,1)))*(INDEX('Shultis Faw'!$C$2:$C$26,MATCH($C444,'Shultis Faw'!$A$2:$A$26,1)+1)-INDEX('Shultis Faw'!$C$2:$C$26,MATCH($C444,'Shultis Faw'!$A$2:$A$26,1)))/(INDEX('Shultis Faw'!$A$2:$A$26,MATCH($C444,'Shultis Faw'!$A$2:$A$26,1)+1)-INDEX('Shultis Faw'!$A$2:$A$26,MATCH($C444,'Shultis Faw'!$A$2:$A$26,1))),$C444*'Shultis Faw'!$C$2/'Shultis Faw'!$A$2)</f>
        <v>3.7138333119999998</v>
      </c>
      <c r="J444" s="83">
        <f>_xlfn.IFNA(INDEX('Shultis Faw'!$D$2:$D$26,MATCH($C444,'Shultis Faw'!$A$2:$A$26,1))+($C444-INDEX('Shultis Faw'!$A$2:$A$26,MATCH($C444,'Shultis Faw'!$A$2:$A$26,1)))*(INDEX('Shultis Faw'!$D$2:$D$26,MATCH($C444,'Shultis Faw'!$A$2:$A$26,1)+1)-INDEX('Shultis Faw'!$D$2:$D$26,MATCH($C444,'Shultis Faw'!$A$2:$A$26,1)))/(INDEX('Shultis Faw'!$A$2:$A$26,MATCH($C444,'Shultis Faw'!$A$2:$A$26,1)+1)-INDEX('Shultis Faw'!$A$2:$A$26,MATCH($C444,'Shultis Faw'!$A$2:$A$26,1))),$C444*'Shultis Faw'!$D$2/'Shultis Faw'!$A$2)</f>
        <v>2.2035306239999999</v>
      </c>
      <c r="K444" s="83">
        <f>_xlfn.IFNA(INDEX('Shultis Faw'!$B$2:$B$26,MATCH($C444,'Shultis Faw'!$A$2:$A$26,1))+($C444-INDEX('Shultis Faw'!$A$2:$A$26,MATCH($C444,'Shultis Faw'!$A$2:$A$26,1)))*(INDEX('Shultis Faw'!$B$2:$B$26,MATCH($C444,'Shultis Faw'!$A$2:$A$26,1)+1)-INDEX('Shultis Faw'!$B$2:$B$26,MATCH($C444,'Shultis Faw'!$A$2:$A$26,1)))/(INDEX('Shultis Faw'!$A$2:$A$26,MATCH($C444,'Shultis Faw'!$A$2:$A$26,1)+1)-INDEX('Shultis Faw'!$A$2:$A$26,MATCH($C444,'Shultis Faw'!$A$2:$A$26,1))),$C444*'Shultis Faw'!$B$2/'Shultis Faw'!$A$2)</f>
        <v>-0.181065632</v>
      </c>
      <c r="L444" s="83">
        <f>_xlfn.IFNA(INDEX('Shultis Faw'!$E$2:$E$26,MATCH($C444,'Shultis Faw'!$A$2:$A$26,1))+($C444-INDEX('Shultis Faw'!$A$2:$A$26,MATCH($C444,'Shultis Faw'!$A$2:$A$26,1)))*(INDEX('Shultis Faw'!$E$2:$E$26,MATCH($C444,'Shultis Faw'!$A$2:$A$26,1)+1)-INDEX('Shultis Faw'!$E$2:$E$26,MATCH($C444,'Shultis Faw'!$A$2:$A$26,1)))/(INDEX('Shultis Faw'!$A$2:$A$26,MATCH($C444,'Shultis Faw'!$A$2:$A$26,1)+1)-INDEX('Shultis Faw'!$A$2:$A$26,MATCH($C444,'Shultis Faw'!$A$2:$A$26,1))),$C444*'Shultis Faw'!$E$2/'Shultis Faw'!$A$2)</f>
        <v>7.7568854399999998E-2</v>
      </c>
      <c r="M444" s="83">
        <f>_xlfn.IFNA(INDEX('Shultis Faw'!$F$2:$F$26,MATCH($C444,'Shultis Faw'!$A$2:$A$26,1))+($C444-INDEX('Shultis Faw'!$A$2:$A$26,MATCH($C444,'Shultis Faw'!$A$2:$A$26,1)))*(INDEX('Shultis Faw'!$F$2:$F$26,MATCH($C444,'Shultis Faw'!$A$2:$A$26,1)+1)-INDEX('Shultis Faw'!$F$2:$F$26,MATCH($C444,'Shultis Faw'!$A$2:$A$26,1)))/(INDEX('Shultis Faw'!$A$2:$A$26,MATCH($C444,'Shultis Faw'!$A$2:$A$26,1)+1)-INDEX('Shultis Faw'!$A$2:$A$26,MATCH($C444,'Shultis Faw'!$A$2:$A$26,1))),$C444*'Shultis Faw'!$F$2/'Shultis Faw'!$A$2)</f>
        <v>14.325517119999999</v>
      </c>
      <c r="N444" s="83">
        <f>J444*(H444*'Externe blootstelling'!$D$23/2)^K444+L444*(TANH(((H444*'Externe blootstelling'!$D$23)/(2*M444))-2)-TANH(-2))/(1-TANH(-2))</f>
        <v>1.9168223551355636</v>
      </c>
      <c r="O444" s="83">
        <f>IF(N444=1,1+(I444-1)*H444*'Externe blootstelling'!$D$23/2,1+(I444-1)*(N444^(H444*'Externe blootstelling'!$D$23/2)-1)/(N444-1))</f>
        <v>10.128465875719778</v>
      </c>
      <c r="P444" s="67">
        <f>G444*EXP(-H444*'Externe blootstelling'!$D$23/2)*O444</f>
        <v>4.806451290652787E-2</v>
      </c>
      <c r="Q444" s="68"/>
    </row>
    <row r="445" spans="1:17" x14ac:dyDescent="0.2">
      <c r="A445" s="217"/>
      <c r="B445" s="77"/>
      <c r="C445" s="66">
        <v>0.1743991</v>
      </c>
      <c r="D445" s="66">
        <f t="shared" si="33"/>
        <v>2.7903856E-14</v>
      </c>
      <c r="E445" s="66">
        <v>0.12609999999999999</v>
      </c>
      <c r="F445" s="66">
        <f>_xlfn.IFNA(INDEX('hp (pSv cm2)'!$B$2:$B$52,MATCH($C445,'hp (pSv cm2)'!$A$2:$A$52,1))+($C445-INDEX('hp (pSv cm2)'!$A$2:$A$52,MATCH($C445,'hp (pSv cm2)'!$A$2:$A$52,1)))*(INDEX('hp (pSv cm2)'!$B$2:$B$52,MATCH($C445,'hp (pSv cm2)'!$A$2:$A$52,1)+1)-INDEX('hp (pSv cm2)'!$B$2:$B$52,MATCH($C445,'hp (pSv cm2)'!$A$2:$A$52,1)))/(INDEX('hp (pSv cm2)'!$A$2:$A$52,MATCH($C445,'hp (pSv cm2)'!$A$2:$A$52,1)+1)-INDEX('hp (pSv cm2)'!$A$2:$A$52,MATCH($C445,'hp (pSv cm2)'!$A$2:$A$52,1))),$C445*'hp (pSv cm2)'!$B$2/'hp (pSv cm2)'!$A$2)</f>
        <v>0.87045944600000003</v>
      </c>
      <c r="G445" s="67">
        <f t="shared" si="34"/>
        <v>0.1097649361406</v>
      </c>
      <c r="H445" s="83">
        <f>_xlfn.IFNA(0.997*(INDEX('Mass attenuation coefficients'!$B$2:$B$37,MATCH($C445,'Mass attenuation coefficients'!$A$2:$A$37,1))+($C445-INDEX('Mass attenuation coefficients'!$A$2:$A$37,MATCH($C445,'Mass attenuation coefficients'!$A$2:$A$37,1)))*(INDEX('Mass attenuation coefficients'!$B$2:$B$37,MATCH($C445,'Mass attenuation coefficients'!$A$2:$A$37,1)+1)-INDEX('Mass attenuation coefficients'!$B$2:$B$37,MATCH($C445,'Mass attenuation coefficients'!$A$2:$A$37,1)))/(INDEX('Mass attenuation coefficients'!$A$2:$A$37,MATCH($C445,'Mass attenuation coefficients'!$A$2:$A$37,1)+1)-INDEX('Mass attenuation coefficients'!$A$2:$A$37,MATCH($C445,'Mass attenuation coefficients'!$A$2:$A$37,1)))),0.997*$C445*'Mass attenuation coefficients'!$B$2/'Mass attenuation coefficients'!$A$2)</f>
        <v>0.14348050627100001</v>
      </c>
      <c r="I445" s="83">
        <f>_xlfn.IFNA(INDEX('Shultis Faw'!$C$2:$C$26,MATCH($C445,'Shultis Faw'!$A$2:$A$26,1))+($C445-INDEX('Shultis Faw'!$A$2:$A$26,MATCH($C445,'Shultis Faw'!$A$2:$A$26,1)))*(INDEX('Shultis Faw'!$C$2:$C$26,MATCH($C445,'Shultis Faw'!$A$2:$A$26,1)+1)-INDEX('Shultis Faw'!$C$2:$C$26,MATCH($C445,'Shultis Faw'!$A$2:$A$26,1)))/(INDEX('Shultis Faw'!$A$2:$A$26,MATCH($C445,'Shultis Faw'!$A$2:$A$26,1)+1)-INDEX('Shultis Faw'!$A$2:$A$26,MATCH($C445,'Shultis Faw'!$A$2:$A$26,1))),$C445*'Shultis Faw'!$C$2/'Shultis Faw'!$A$2)</f>
        <v>3.6925355419999999</v>
      </c>
      <c r="J445" s="83">
        <f>_xlfn.IFNA(INDEX('Shultis Faw'!$D$2:$D$26,MATCH($C445,'Shultis Faw'!$A$2:$A$26,1))+($C445-INDEX('Shultis Faw'!$A$2:$A$26,MATCH($C445,'Shultis Faw'!$A$2:$A$26,1)))*(INDEX('Shultis Faw'!$D$2:$D$26,MATCH($C445,'Shultis Faw'!$A$2:$A$26,1)+1)-INDEX('Shultis Faw'!$D$2:$D$26,MATCH($C445,'Shultis Faw'!$A$2:$A$26,1)))/(INDEX('Shultis Faw'!$A$2:$A$26,MATCH($C445,'Shultis Faw'!$A$2:$A$26,1)+1)-INDEX('Shultis Faw'!$A$2:$A$26,MATCH($C445,'Shultis Faw'!$A$2:$A$26,1))),$C445*'Shultis Faw'!$D$2/'Shultis Faw'!$A$2)</f>
        <v>2.1990575840000002</v>
      </c>
      <c r="K445" s="83">
        <f>_xlfn.IFNA(INDEX('Shultis Faw'!$B$2:$B$26,MATCH($C445,'Shultis Faw'!$A$2:$A$26,1))+($C445-INDEX('Shultis Faw'!$A$2:$A$26,MATCH($C445,'Shultis Faw'!$A$2:$A$26,1)))*(INDEX('Shultis Faw'!$B$2:$B$26,MATCH($C445,'Shultis Faw'!$A$2:$A$26,1)+1)-INDEX('Shultis Faw'!$B$2:$B$26,MATCH($C445,'Shultis Faw'!$A$2:$A$26,1)))/(INDEX('Shultis Faw'!$A$2:$A$26,MATCH($C445,'Shultis Faw'!$A$2:$A$26,1)+1)-INDEX('Shultis Faw'!$A$2:$A$26,MATCH($C445,'Shultis Faw'!$A$2:$A$26,1))),$C445*'Shultis Faw'!$B$2/'Shultis Faw'!$A$2)</f>
        <v>-0.18060816199999999</v>
      </c>
      <c r="L445" s="83">
        <f>_xlfn.IFNA(INDEX('Shultis Faw'!$E$2:$E$26,MATCH($C445,'Shultis Faw'!$A$2:$A$26,1))+($C445-INDEX('Shultis Faw'!$A$2:$A$26,MATCH($C445,'Shultis Faw'!$A$2:$A$26,1)))*(INDEX('Shultis Faw'!$E$2:$E$26,MATCH($C445,'Shultis Faw'!$A$2:$A$26,1)+1)-INDEX('Shultis Faw'!$E$2:$E$26,MATCH($C445,'Shultis Faw'!$A$2:$A$26,1)))/(INDEX('Shultis Faw'!$A$2:$A$26,MATCH($C445,'Shultis Faw'!$A$2:$A$26,1)+1)-INDEX('Shultis Faw'!$A$2:$A$26,MATCH($C445,'Shultis Faw'!$A$2:$A$26,1))),$C445*'Shultis Faw'!$E$2/'Shultis Faw'!$A$2)</f>
        <v>7.7553605400000003E-2</v>
      </c>
      <c r="M445" s="83">
        <f>_xlfn.IFNA(INDEX('Shultis Faw'!$F$2:$F$26,MATCH($C445,'Shultis Faw'!$A$2:$A$26,1))+($C445-INDEX('Shultis Faw'!$A$2:$A$26,MATCH($C445,'Shultis Faw'!$A$2:$A$26,1)))*(INDEX('Shultis Faw'!$F$2:$F$26,MATCH($C445,'Shultis Faw'!$A$2:$A$26,1)+1)-INDEX('Shultis Faw'!$F$2:$F$26,MATCH($C445,'Shultis Faw'!$A$2:$A$26,1)))/(INDEX('Shultis Faw'!$A$2:$A$26,MATCH($C445,'Shultis Faw'!$A$2:$A$26,1)+1)-INDEX('Shultis Faw'!$A$2:$A$26,MATCH($C445,'Shultis Faw'!$A$2:$A$26,1))),$C445*'Shultis Faw'!$F$2/'Shultis Faw'!$A$2)</f>
        <v>14.34127442</v>
      </c>
      <c r="N445" s="83">
        <f>J445*(H445*'Externe blootstelling'!$D$23/2)^K445+L445*(TANH(((H445*'Externe blootstelling'!$D$23)/(2*M445))-2)-TANH(-2))/(1-TANH(-2))</f>
        <v>1.9152481351198107</v>
      </c>
      <c r="O445" s="83">
        <f>IF(N445=1,1+(I445-1)*H445*'Externe blootstelling'!$D$23/2,1+(I445-1)*(N445^(H445*'Externe blootstelling'!$D$23/2)-1)/(N445-1))</f>
        <v>9.9713648317526893</v>
      </c>
      <c r="P445" s="67">
        <f>G445*EXP(-H445*'Externe blootstelling'!$D$23/2)*O445</f>
        <v>0.12721149413108115</v>
      </c>
      <c r="Q445" s="68"/>
    </row>
    <row r="446" spans="1:17" x14ac:dyDescent="0.2">
      <c r="A446" s="217"/>
      <c r="B446" s="77"/>
      <c r="C446" s="66">
        <v>0.17700079999999999</v>
      </c>
      <c r="D446" s="66">
        <f t="shared" si="33"/>
        <v>2.8320127999999995E-14</v>
      </c>
      <c r="E446" s="66">
        <v>3.4299999999999997E-2</v>
      </c>
      <c r="F446" s="66">
        <f>_xlfn.IFNA(INDEX('hp (pSv cm2)'!$B$2:$B$52,MATCH($C446,'hp (pSv cm2)'!$A$2:$A$52,1))+($C446-INDEX('hp (pSv cm2)'!$A$2:$A$52,MATCH($C446,'hp (pSv cm2)'!$A$2:$A$52,1)))*(INDEX('hp (pSv cm2)'!$B$2:$B$52,MATCH($C446,'hp (pSv cm2)'!$A$2:$A$52,1)+1)-INDEX('hp (pSv cm2)'!$B$2:$B$52,MATCH($C446,'hp (pSv cm2)'!$A$2:$A$52,1)))/(INDEX('hp (pSv cm2)'!$A$2:$A$52,MATCH($C446,'hp (pSv cm2)'!$A$2:$A$52,1)+1)-INDEX('hp (pSv cm2)'!$A$2:$A$52,MATCH($C446,'hp (pSv cm2)'!$A$2:$A$52,1))),$C446*'hp (pSv cm2)'!$B$2/'hp (pSv cm2)'!$A$2)</f>
        <v>0.88362404799999994</v>
      </c>
      <c r="G446" s="67">
        <f t="shared" si="34"/>
        <v>3.0308304846399996E-2</v>
      </c>
      <c r="H446" s="83">
        <f>_xlfn.IFNA(0.997*(INDEX('Mass attenuation coefficients'!$B$2:$B$37,MATCH($C446,'Mass attenuation coefficients'!$A$2:$A$37,1))+($C446-INDEX('Mass attenuation coefficients'!$A$2:$A$37,MATCH($C446,'Mass attenuation coefficients'!$A$2:$A$37,1)))*(INDEX('Mass attenuation coefficients'!$B$2:$B$37,MATCH($C446,'Mass attenuation coefficients'!$A$2:$A$37,1)+1)-INDEX('Mass attenuation coefficients'!$B$2:$B$37,MATCH($C446,'Mass attenuation coefficients'!$A$2:$A$37,1)))/(INDEX('Mass attenuation coefficients'!$A$2:$A$37,MATCH($C446,'Mass attenuation coefficients'!$A$2:$A$37,1)+1)-INDEX('Mass attenuation coefficients'!$A$2:$A$37,MATCH($C446,'Mass attenuation coefficients'!$A$2:$A$37,1)))),0.997*$C446*'Mass attenuation coefficients'!$B$2/'Mass attenuation coefficients'!$A$2)</f>
        <v>0.14278015464800001</v>
      </c>
      <c r="I446" s="83">
        <f>_xlfn.IFNA(INDEX('Shultis Faw'!$C$2:$C$26,MATCH($C446,'Shultis Faw'!$A$2:$A$26,1))+($C446-INDEX('Shultis Faw'!$A$2:$A$26,MATCH($C446,'Shultis Faw'!$A$2:$A$26,1)))*(INDEX('Shultis Faw'!$C$2:$C$26,MATCH($C446,'Shultis Faw'!$A$2:$A$26,1)+1)-INDEX('Shultis Faw'!$C$2:$C$26,MATCH($C446,'Shultis Faw'!$A$2:$A$26,1)))/(INDEX('Shultis Faw'!$A$2:$A$26,MATCH($C446,'Shultis Faw'!$A$2:$A$26,1)+1)-INDEX('Shultis Faw'!$A$2:$A$26,MATCH($C446,'Shultis Faw'!$A$2:$A$26,1))),$C446*'Shultis Faw'!$C$2/'Shultis Faw'!$A$2)</f>
        <v>3.6707332960000003</v>
      </c>
      <c r="J446" s="83">
        <f>_xlfn.IFNA(INDEX('Shultis Faw'!$D$2:$D$26,MATCH($C446,'Shultis Faw'!$A$2:$A$26,1))+($C446-INDEX('Shultis Faw'!$A$2:$A$26,MATCH($C446,'Shultis Faw'!$A$2:$A$26,1)))*(INDEX('Shultis Faw'!$D$2:$D$26,MATCH($C446,'Shultis Faw'!$A$2:$A$26,1)+1)-INDEX('Shultis Faw'!$D$2:$D$26,MATCH($C446,'Shultis Faw'!$A$2:$A$26,1)))/(INDEX('Shultis Faw'!$A$2:$A$26,MATCH($C446,'Shultis Faw'!$A$2:$A$26,1)+1)-INDEX('Shultis Faw'!$A$2:$A$26,MATCH($C446,'Shultis Faw'!$A$2:$A$26,1))),$C446*'Shultis Faw'!$D$2/'Shultis Faw'!$A$2)</f>
        <v>2.1944785919999998</v>
      </c>
      <c r="K446" s="83">
        <f>_xlfn.IFNA(INDEX('Shultis Faw'!$B$2:$B$26,MATCH($C446,'Shultis Faw'!$A$2:$A$26,1))+($C446-INDEX('Shultis Faw'!$A$2:$A$26,MATCH($C446,'Shultis Faw'!$A$2:$A$26,1)))*(INDEX('Shultis Faw'!$B$2:$B$26,MATCH($C446,'Shultis Faw'!$A$2:$A$26,1)+1)-INDEX('Shultis Faw'!$B$2:$B$26,MATCH($C446,'Shultis Faw'!$A$2:$A$26,1)))/(INDEX('Shultis Faw'!$A$2:$A$26,MATCH($C446,'Shultis Faw'!$A$2:$A$26,1)+1)-INDEX('Shultis Faw'!$A$2:$A$26,MATCH($C446,'Shultis Faw'!$A$2:$A$26,1))),$C446*'Shultis Faw'!$B$2/'Shultis Faw'!$A$2)</f>
        <v>-0.18013985599999999</v>
      </c>
      <c r="L446" s="83">
        <f>_xlfn.IFNA(INDEX('Shultis Faw'!$E$2:$E$26,MATCH($C446,'Shultis Faw'!$A$2:$A$26,1))+($C446-INDEX('Shultis Faw'!$A$2:$A$26,MATCH($C446,'Shultis Faw'!$A$2:$A$26,1)))*(INDEX('Shultis Faw'!$E$2:$E$26,MATCH($C446,'Shultis Faw'!$A$2:$A$26,1)+1)-INDEX('Shultis Faw'!$E$2:$E$26,MATCH($C446,'Shultis Faw'!$A$2:$A$26,1)))/(INDEX('Shultis Faw'!$A$2:$A$26,MATCH($C446,'Shultis Faw'!$A$2:$A$26,1)+1)-INDEX('Shultis Faw'!$A$2:$A$26,MATCH($C446,'Shultis Faw'!$A$2:$A$26,1))),$C446*'Shultis Faw'!$E$2/'Shultis Faw'!$A$2)</f>
        <v>7.7537995200000001E-2</v>
      </c>
      <c r="M446" s="83">
        <f>_xlfn.IFNA(INDEX('Shultis Faw'!$F$2:$F$26,MATCH($C446,'Shultis Faw'!$A$2:$A$26,1))+($C446-INDEX('Shultis Faw'!$A$2:$A$26,MATCH($C446,'Shultis Faw'!$A$2:$A$26,1)))*(INDEX('Shultis Faw'!$F$2:$F$26,MATCH($C446,'Shultis Faw'!$A$2:$A$26,1)+1)-INDEX('Shultis Faw'!$F$2:$F$26,MATCH($C446,'Shultis Faw'!$A$2:$A$26,1)))/(INDEX('Shultis Faw'!$A$2:$A$26,MATCH($C446,'Shultis Faw'!$A$2:$A$26,1)+1)-INDEX('Shultis Faw'!$A$2:$A$26,MATCH($C446,'Shultis Faw'!$A$2:$A$26,1))),$C446*'Shultis Faw'!$F$2/'Shultis Faw'!$A$2)</f>
        <v>14.35740496</v>
      </c>
      <c r="N446" s="83">
        <f>J446*(H446*'Externe blootstelling'!$D$23/2)^K446+L446*(TANH(((H446*'Externe blootstelling'!$D$23)/(2*M446))-2)-TANH(-2))/(1-TANH(-2))</f>
        <v>1.9136292679452531</v>
      </c>
      <c r="O446" s="83">
        <f>IF(N446=1,1+(I446-1)*H446*'Externe blootstelling'!$D$23/2,1+(I446-1)*(N446^(H446*'Externe blootstelling'!$D$23/2)-1)/(N446-1))</f>
        <v>9.8126766511871359</v>
      </c>
      <c r="P446" s="67">
        <f>G446*EXP(-H446*'Externe blootstelling'!$D$23/2)*O446</f>
        <v>3.4931693076358176E-2</v>
      </c>
      <c r="Q446" s="68"/>
    </row>
    <row r="447" spans="1:17" x14ac:dyDescent="0.2">
      <c r="A447" s="217"/>
      <c r="B447" s="77"/>
      <c r="C447" s="66">
        <v>0.18198</v>
      </c>
      <c r="D447" s="66">
        <f t="shared" si="33"/>
        <v>2.9116799999999995E-14</v>
      </c>
      <c r="E447" s="66">
        <v>1.24E-3</v>
      </c>
      <c r="F447" s="66">
        <f>_xlfn.IFNA(INDEX('hp (pSv cm2)'!$B$2:$B$52,MATCH($C447,'hp (pSv cm2)'!$A$2:$A$52,1))+($C447-INDEX('hp (pSv cm2)'!$A$2:$A$52,MATCH($C447,'hp (pSv cm2)'!$A$2:$A$52,1)))*(INDEX('hp (pSv cm2)'!$B$2:$B$52,MATCH($C447,'hp (pSv cm2)'!$A$2:$A$52,1)+1)-INDEX('hp (pSv cm2)'!$B$2:$B$52,MATCH($C447,'hp (pSv cm2)'!$A$2:$A$52,1)))/(INDEX('hp (pSv cm2)'!$A$2:$A$52,MATCH($C447,'hp (pSv cm2)'!$A$2:$A$52,1)+1)-INDEX('hp (pSv cm2)'!$A$2:$A$52,MATCH($C447,'hp (pSv cm2)'!$A$2:$A$52,1))),$C447*'hp (pSv cm2)'!$B$2/'hp (pSv cm2)'!$A$2)</f>
        <v>0.90881880000000004</v>
      </c>
      <c r="G447" s="67">
        <f t="shared" si="34"/>
        <v>1.126935312E-3</v>
      </c>
      <c r="H447" s="83">
        <f>_xlfn.IFNA(0.997*(INDEX('Mass attenuation coefficients'!$B$2:$B$37,MATCH($C447,'Mass attenuation coefficients'!$A$2:$A$37,1))+($C447-INDEX('Mass attenuation coefficients'!$A$2:$A$37,MATCH($C447,'Mass attenuation coefficients'!$A$2:$A$37,1)))*(INDEX('Mass attenuation coefficients'!$B$2:$B$37,MATCH($C447,'Mass attenuation coefficients'!$A$2:$A$37,1)+1)-INDEX('Mass attenuation coefficients'!$B$2:$B$37,MATCH($C447,'Mass attenuation coefficients'!$A$2:$A$37,1)))/(INDEX('Mass attenuation coefficients'!$A$2:$A$37,MATCH($C447,'Mass attenuation coefficients'!$A$2:$A$37,1)+1)-INDEX('Mass attenuation coefficients'!$A$2:$A$37,MATCH($C447,'Mass attenuation coefficients'!$A$2:$A$37,1)))),0.997*$C447*'Mass attenuation coefficients'!$B$2/'Mass attenuation coefficients'!$A$2)</f>
        <v>0.14143980380000001</v>
      </c>
      <c r="I447" s="83">
        <f>_xlfn.IFNA(INDEX('Shultis Faw'!$C$2:$C$26,MATCH($C447,'Shultis Faw'!$A$2:$A$26,1))+($C447-INDEX('Shultis Faw'!$A$2:$A$26,MATCH($C447,'Shultis Faw'!$A$2:$A$26,1)))*(INDEX('Shultis Faw'!$C$2:$C$26,MATCH($C447,'Shultis Faw'!$A$2:$A$26,1)+1)-INDEX('Shultis Faw'!$C$2:$C$26,MATCH($C447,'Shultis Faw'!$A$2:$A$26,1)))/(INDEX('Shultis Faw'!$A$2:$A$26,MATCH($C447,'Shultis Faw'!$A$2:$A$26,1)+1)-INDEX('Shultis Faw'!$A$2:$A$26,MATCH($C447,'Shultis Faw'!$A$2:$A$26,1))),$C447*'Shultis Faw'!$C$2/'Shultis Faw'!$A$2)</f>
        <v>3.6290076</v>
      </c>
      <c r="J447" s="83">
        <f>_xlfn.IFNA(INDEX('Shultis Faw'!$D$2:$D$26,MATCH($C447,'Shultis Faw'!$A$2:$A$26,1))+($C447-INDEX('Shultis Faw'!$A$2:$A$26,MATCH($C447,'Shultis Faw'!$A$2:$A$26,1)))*(INDEX('Shultis Faw'!$D$2:$D$26,MATCH($C447,'Shultis Faw'!$A$2:$A$26,1)+1)-INDEX('Shultis Faw'!$D$2:$D$26,MATCH($C447,'Shultis Faw'!$A$2:$A$26,1)))/(INDEX('Shultis Faw'!$A$2:$A$26,MATCH($C447,'Shultis Faw'!$A$2:$A$26,1)+1)-INDEX('Shultis Faw'!$A$2:$A$26,MATCH($C447,'Shultis Faw'!$A$2:$A$26,1))),$C447*'Shultis Faw'!$D$2/'Shultis Faw'!$A$2)</f>
        <v>2.1857151999999997</v>
      </c>
      <c r="K447" s="83">
        <f>_xlfn.IFNA(INDEX('Shultis Faw'!$B$2:$B$26,MATCH($C447,'Shultis Faw'!$A$2:$A$26,1))+($C447-INDEX('Shultis Faw'!$A$2:$A$26,MATCH($C447,'Shultis Faw'!$A$2:$A$26,1)))*(INDEX('Shultis Faw'!$B$2:$B$26,MATCH($C447,'Shultis Faw'!$A$2:$A$26,1)+1)-INDEX('Shultis Faw'!$B$2:$B$26,MATCH($C447,'Shultis Faw'!$A$2:$A$26,1)))/(INDEX('Shultis Faw'!$A$2:$A$26,MATCH($C447,'Shultis Faw'!$A$2:$A$26,1)+1)-INDEX('Shultis Faw'!$A$2:$A$26,MATCH($C447,'Shultis Faw'!$A$2:$A$26,1))),$C447*'Shultis Faw'!$B$2/'Shultis Faw'!$A$2)</f>
        <v>-0.1792436</v>
      </c>
      <c r="L447" s="83">
        <f>_xlfn.IFNA(INDEX('Shultis Faw'!$E$2:$E$26,MATCH($C447,'Shultis Faw'!$A$2:$A$26,1))+($C447-INDEX('Shultis Faw'!$A$2:$A$26,MATCH($C447,'Shultis Faw'!$A$2:$A$26,1)))*(INDEX('Shultis Faw'!$E$2:$E$26,MATCH($C447,'Shultis Faw'!$A$2:$A$26,1)+1)-INDEX('Shultis Faw'!$E$2:$E$26,MATCH($C447,'Shultis Faw'!$A$2:$A$26,1)))/(INDEX('Shultis Faw'!$A$2:$A$26,MATCH($C447,'Shultis Faw'!$A$2:$A$26,1)+1)-INDEX('Shultis Faw'!$A$2:$A$26,MATCH($C447,'Shultis Faw'!$A$2:$A$26,1))),$C447*'Shultis Faw'!$E$2/'Shultis Faw'!$A$2)</f>
        <v>7.750812E-2</v>
      </c>
      <c r="M447" s="83">
        <f>_xlfn.IFNA(INDEX('Shultis Faw'!$F$2:$F$26,MATCH($C447,'Shultis Faw'!$A$2:$A$26,1))+($C447-INDEX('Shultis Faw'!$A$2:$A$26,MATCH($C447,'Shultis Faw'!$A$2:$A$26,1)))*(INDEX('Shultis Faw'!$F$2:$F$26,MATCH($C447,'Shultis Faw'!$A$2:$A$26,1)+1)-INDEX('Shultis Faw'!$F$2:$F$26,MATCH($C447,'Shultis Faw'!$A$2:$A$26,1)))/(INDEX('Shultis Faw'!$A$2:$A$26,MATCH($C447,'Shultis Faw'!$A$2:$A$26,1)+1)-INDEX('Shultis Faw'!$A$2:$A$26,MATCH($C447,'Shultis Faw'!$A$2:$A$26,1))),$C447*'Shultis Faw'!$F$2/'Shultis Faw'!$A$2)</f>
        <v>14.388275999999999</v>
      </c>
      <c r="N447" s="83">
        <f>J447*(H447*'Externe blootstelling'!$D$23/2)^K447+L447*(TANH(((H447*'Externe blootstelling'!$D$23)/(2*M447))-2)-TANH(-2))/(1-TANH(-2))</f>
        <v>1.9105102905494062</v>
      </c>
      <c r="O447" s="83">
        <f>IF(N447=1,1+(I447-1)*H447*'Externe blootstelling'!$D$23/2,1+(I447-1)*(N447^(H447*'Externe blootstelling'!$D$23/2)-1)/(N447-1))</f>
        <v>9.5149055598820027</v>
      </c>
      <c r="P447" s="67">
        <f>G447*EXP(-H447*'Externe blootstelling'!$D$23/2)*O447</f>
        <v>1.2850072409513798E-3</v>
      </c>
      <c r="Q447" s="68"/>
    </row>
    <row r="448" spans="1:17" x14ac:dyDescent="0.2">
      <c r="A448" s="217"/>
      <c r="B448" s="77"/>
      <c r="C448" s="66">
        <v>0.19556010000000001</v>
      </c>
      <c r="D448" s="66">
        <f t="shared" si="33"/>
        <v>3.1289615999999998E-14</v>
      </c>
      <c r="E448" s="66">
        <v>8.3999999999999995E-3</v>
      </c>
      <c r="F448" s="66">
        <f>_xlfn.IFNA(INDEX('hp (pSv cm2)'!$B$2:$B$52,MATCH($C448,'hp (pSv cm2)'!$A$2:$A$52,1))+($C448-INDEX('hp (pSv cm2)'!$A$2:$A$52,MATCH($C448,'hp (pSv cm2)'!$A$2:$A$52,1)))*(INDEX('hp (pSv cm2)'!$B$2:$B$52,MATCH($C448,'hp (pSv cm2)'!$A$2:$A$52,1)+1)-INDEX('hp (pSv cm2)'!$B$2:$B$52,MATCH($C448,'hp (pSv cm2)'!$A$2:$A$52,1)))/(INDEX('hp (pSv cm2)'!$A$2:$A$52,MATCH($C448,'hp (pSv cm2)'!$A$2:$A$52,1)+1)-INDEX('hp (pSv cm2)'!$A$2:$A$52,MATCH($C448,'hp (pSv cm2)'!$A$2:$A$52,1))),$C448*'hp (pSv cm2)'!$B$2/'hp (pSv cm2)'!$A$2)</f>
        <v>0.97753410600000001</v>
      </c>
      <c r="G448" s="67">
        <f t="shared" si="34"/>
        <v>8.2112864904000001E-3</v>
      </c>
      <c r="H448" s="83">
        <f>_xlfn.IFNA(0.997*(INDEX('Mass attenuation coefficients'!$B$2:$B$37,MATCH($C448,'Mass attenuation coefficients'!$A$2:$A$37,1))+($C448-INDEX('Mass attenuation coefficients'!$A$2:$A$37,MATCH($C448,'Mass attenuation coefficients'!$A$2:$A$37,1)))*(INDEX('Mass attenuation coefficients'!$B$2:$B$37,MATCH($C448,'Mass attenuation coefficients'!$A$2:$A$37,1)+1)-INDEX('Mass attenuation coefficients'!$B$2:$B$37,MATCH($C448,'Mass attenuation coefficients'!$A$2:$A$37,1)))/(INDEX('Mass attenuation coefficients'!$A$2:$A$37,MATCH($C448,'Mass attenuation coefficients'!$A$2:$A$37,1)+1)-INDEX('Mass attenuation coefficients'!$A$2:$A$37,MATCH($C448,'Mass attenuation coefficients'!$A$2:$A$37,1)))),0.997*$C448*'Mass attenuation coefficients'!$B$2/'Mass attenuation coefficients'!$A$2)</f>
        <v>0.13778417668099999</v>
      </c>
      <c r="I448" s="83">
        <f>_xlfn.IFNA(INDEX('Shultis Faw'!$C$2:$C$26,MATCH($C448,'Shultis Faw'!$A$2:$A$26,1))+($C448-INDEX('Shultis Faw'!$A$2:$A$26,MATCH($C448,'Shultis Faw'!$A$2:$A$26,1)))*(INDEX('Shultis Faw'!$C$2:$C$26,MATCH($C448,'Shultis Faw'!$A$2:$A$26,1)+1)-INDEX('Shultis Faw'!$C$2:$C$26,MATCH($C448,'Shultis Faw'!$A$2:$A$26,1)))/(INDEX('Shultis Faw'!$A$2:$A$26,MATCH($C448,'Shultis Faw'!$A$2:$A$26,1)+1)-INDEX('Shultis Faw'!$A$2:$A$26,MATCH($C448,'Shultis Faw'!$A$2:$A$26,1))),$C448*'Shultis Faw'!$C$2/'Shultis Faw'!$A$2)</f>
        <v>3.5152063620000003</v>
      </c>
      <c r="J448" s="83">
        <f>_xlfn.IFNA(INDEX('Shultis Faw'!$D$2:$D$26,MATCH($C448,'Shultis Faw'!$A$2:$A$26,1))+($C448-INDEX('Shultis Faw'!$A$2:$A$26,MATCH($C448,'Shultis Faw'!$A$2:$A$26,1)))*(INDEX('Shultis Faw'!$D$2:$D$26,MATCH($C448,'Shultis Faw'!$A$2:$A$26,1)+1)-INDEX('Shultis Faw'!$D$2:$D$26,MATCH($C448,'Shultis Faw'!$A$2:$A$26,1)))/(INDEX('Shultis Faw'!$A$2:$A$26,MATCH($C448,'Shultis Faw'!$A$2:$A$26,1)+1)-INDEX('Shultis Faw'!$A$2:$A$26,MATCH($C448,'Shultis Faw'!$A$2:$A$26,1))),$C448*'Shultis Faw'!$D$2/'Shultis Faw'!$A$2)</f>
        <v>2.161814224</v>
      </c>
      <c r="K448" s="83">
        <f>_xlfn.IFNA(INDEX('Shultis Faw'!$B$2:$B$26,MATCH($C448,'Shultis Faw'!$A$2:$A$26,1))+($C448-INDEX('Shultis Faw'!$A$2:$A$26,MATCH($C448,'Shultis Faw'!$A$2:$A$26,1)))*(INDEX('Shultis Faw'!$B$2:$B$26,MATCH($C448,'Shultis Faw'!$A$2:$A$26,1)+1)-INDEX('Shultis Faw'!$B$2:$B$26,MATCH($C448,'Shultis Faw'!$A$2:$A$26,1)))/(INDEX('Shultis Faw'!$A$2:$A$26,MATCH($C448,'Shultis Faw'!$A$2:$A$26,1)+1)-INDEX('Shultis Faw'!$A$2:$A$26,MATCH($C448,'Shultis Faw'!$A$2:$A$26,1))),$C448*'Shultis Faw'!$B$2/'Shultis Faw'!$A$2)</f>
        <v>-0.176799182</v>
      </c>
      <c r="L448" s="83">
        <f>_xlfn.IFNA(INDEX('Shultis Faw'!$E$2:$E$26,MATCH($C448,'Shultis Faw'!$A$2:$A$26,1))+($C448-INDEX('Shultis Faw'!$A$2:$A$26,MATCH($C448,'Shultis Faw'!$A$2:$A$26,1)))*(INDEX('Shultis Faw'!$E$2:$E$26,MATCH($C448,'Shultis Faw'!$A$2:$A$26,1)+1)-INDEX('Shultis Faw'!$E$2:$E$26,MATCH($C448,'Shultis Faw'!$A$2:$A$26,1)))/(INDEX('Shultis Faw'!$A$2:$A$26,MATCH($C448,'Shultis Faw'!$A$2:$A$26,1)+1)-INDEX('Shultis Faw'!$A$2:$A$26,MATCH($C448,'Shultis Faw'!$A$2:$A$26,1))),$C448*'Shultis Faw'!$E$2/'Shultis Faw'!$A$2)</f>
        <v>7.7426639399999997E-2</v>
      </c>
      <c r="M448" s="83">
        <f>_xlfn.IFNA(INDEX('Shultis Faw'!$F$2:$F$26,MATCH($C448,'Shultis Faw'!$A$2:$A$26,1))+($C448-INDEX('Shultis Faw'!$A$2:$A$26,MATCH($C448,'Shultis Faw'!$A$2:$A$26,1)))*(INDEX('Shultis Faw'!$F$2:$F$26,MATCH($C448,'Shultis Faw'!$A$2:$A$26,1)+1)-INDEX('Shultis Faw'!$F$2:$F$26,MATCH($C448,'Shultis Faw'!$A$2:$A$26,1)))/(INDEX('Shultis Faw'!$A$2:$A$26,MATCH($C448,'Shultis Faw'!$A$2:$A$26,1)+1)-INDEX('Shultis Faw'!$A$2:$A$26,MATCH($C448,'Shultis Faw'!$A$2:$A$26,1))),$C448*'Shultis Faw'!$F$2/'Shultis Faw'!$A$2)</f>
        <v>14.47247262</v>
      </c>
      <c r="N448" s="83">
        <f>J448*(H448*'Externe blootstelling'!$D$23/2)^K448+L448*(TANH(((H448*'Externe blootstelling'!$D$23)/(2*M448))-2)-TANH(-2))/(1-TANH(-2))</f>
        <v>1.9018653480526071</v>
      </c>
      <c r="O448" s="83">
        <f>IF(N448=1,1+(I448-1)*H448*'Externe blootstelling'!$D$23/2,1+(I448-1)*(N448^(H448*'Externe blootstelling'!$D$23/2)-1)/(N448-1))</f>
        <v>8.7411517331306783</v>
      </c>
      <c r="P448" s="67">
        <f>G448*EXP(-H448*'Externe blootstelling'!$D$23/2)*O448</f>
        <v>9.0864920188221312E-3</v>
      </c>
      <c r="Q448" s="68"/>
    </row>
    <row r="449" spans="1:17" x14ac:dyDescent="0.2">
      <c r="A449" s="217"/>
      <c r="B449" s="77"/>
      <c r="C449" s="66">
        <v>0.20410519999999999</v>
      </c>
      <c r="D449" s="66">
        <f t="shared" si="33"/>
        <v>3.2656831999999993E-14</v>
      </c>
      <c r="E449" s="66">
        <v>0.13800000000000001</v>
      </c>
      <c r="F449" s="66">
        <f>_xlfn.IFNA(INDEX('hp (pSv cm2)'!$B$2:$B$52,MATCH($C449,'hp (pSv cm2)'!$A$2:$A$52,1))+($C449-INDEX('hp (pSv cm2)'!$A$2:$A$52,MATCH($C449,'hp (pSv cm2)'!$A$2:$A$52,1)))*(INDEX('hp (pSv cm2)'!$B$2:$B$52,MATCH($C449,'hp (pSv cm2)'!$A$2:$A$52,1)+1)-INDEX('hp (pSv cm2)'!$B$2:$B$52,MATCH($C449,'hp (pSv cm2)'!$A$2:$A$52,1)))/(INDEX('hp (pSv cm2)'!$A$2:$A$52,MATCH($C449,'hp (pSv cm2)'!$A$2:$A$52,1)+1)-INDEX('hp (pSv cm2)'!$A$2:$A$52,MATCH($C449,'hp (pSv cm2)'!$A$2:$A$52,1))),$C449*'hp (pSv cm2)'!$B$2/'hp (pSv cm2)'!$A$2)</f>
        <v>1.0209365199999998</v>
      </c>
      <c r="G449" s="67">
        <f t="shared" si="34"/>
        <v>0.14088923975999998</v>
      </c>
      <c r="H449" s="83">
        <f>_xlfn.IFNA(0.997*(INDEX('Mass attenuation coefficients'!$B$2:$B$37,MATCH($C449,'Mass attenuation coefficients'!$A$2:$A$37,1))+($C449-INDEX('Mass attenuation coefficients'!$A$2:$A$37,MATCH($C449,'Mass attenuation coefficients'!$A$2:$A$37,1)))*(INDEX('Mass attenuation coefficients'!$B$2:$B$37,MATCH($C449,'Mass attenuation coefficients'!$A$2:$A$37,1)+1)-INDEX('Mass attenuation coefficients'!$B$2:$B$37,MATCH($C449,'Mass attenuation coefficients'!$A$2:$A$37,1)))/(INDEX('Mass attenuation coefficients'!$A$2:$A$37,MATCH($C449,'Mass attenuation coefficients'!$A$2:$A$37,1)+1)-INDEX('Mass attenuation coefficients'!$A$2:$A$37,MATCH($C449,'Mass attenuation coefficients'!$A$2:$A$37,1)))),0.997*$C449*'Mass attenuation coefficients'!$B$2/'Mass attenuation coefficients'!$A$2)</f>
        <v>0.13583590927040001</v>
      </c>
      <c r="I449" s="83">
        <f>_xlfn.IFNA(INDEX('Shultis Faw'!$C$2:$C$26,MATCH($C449,'Shultis Faw'!$A$2:$A$26,1))+($C449-INDEX('Shultis Faw'!$A$2:$A$26,MATCH($C449,'Shultis Faw'!$A$2:$A$26,1)))*(INDEX('Shultis Faw'!$C$2:$C$26,MATCH($C449,'Shultis Faw'!$A$2:$A$26,1)+1)-INDEX('Shultis Faw'!$C$2:$C$26,MATCH($C449,'Shultis Faw'!$A$2:$A$26,1)))/(INDEX('Shultis Faw'!$A$2:$A$26,MATCH($C449,'Shultis Faw'!$A$2:$A$26,1)+1)-INDEX('Shultis Faw'!$A$2:$A$26,MATCH($C449,'Shultis Faw'!$A$2:$A$26,1))),$C449*'Shultis Faw'!$C$2/'Shultis Faw'!$A$2)</f>
        <v>3.4550929840000002</v>
      </c>
      <c r="J449" s="83">
        <f>_xlfn.IFNA(INDEX('Shultis Faw'!$D$2:$D$26,MATCH($C449,'Shultis Faw'!$A$2:$A$26,1))+($C449-INDEX('Shultis Faw'!$A$2:$A$26,MATCH($C449,'Shultis Faw'!$A$2:$A$26,1)))*(INDEX('Shultis Faw'!$D$2:$D$26,MATCH($C449,'Shultis Faw'!$A$2:$A$26,1)+1)-INDEX('Shultis Faw'!$D$2:$D$26,MATCH($C449,'Shultis Faw'!$A$2:$A$26,1)))/(INDEX('Shultis Faw'!$A$2:$A$26,MATCH($C449,'Shultis Faw'!$A$2:$A$26,1)+1)-INDEX('Shultis Faw'!$A$2:$A$26,MATCH($C449,'Shultis Faw'!$A$2:$A$26,1))),$C449*'Shultis Faw'!$D$2/'Shultis Faw'!$A$2)</f>
        <v>2.1485811359999998</v>
      </c>
      <c r="K449" s="83">
        <f>_xlfn.IFNA(INDEX('Shultis Faw'!$B$2:$B$26,MATCH($C449,'Shultis Faw'!$A$2:$A$26,1))+($C449-INDEX('Shultis Faw'!$A$2:$A$26,MATCH($C449,'Shultis Faw'!$A$2:$A$26,1)))*(INDEX('Shultis Faw'!$B$2:$B$26,MATCH($C449,'Shultis Faw'!$A$2:$A$26,1)+1)-INDEX('Shultis Faw'!$B$2:$B$26,MATCH($C449,'Shultis Faw'!$A$2:$A$26,1)))/(INDEX('Shultis Faw'!$A$2:$A$26,MATCH($C449,'Shultis Faw'!$A$2:$A$26,1)+1)-INDEX('Shultis Faw'!$A$2:$A$26,MATCH($C449,'Shultis Faw'!$A$2:$A$26,1))),$C449*'Shultis Faw'!$B$2/'Shultis Faw'!$A$2)</f>
        <v>-0.17550737599999999</v>
      </c>
      <c r="L449" s="83">
        <f>_xlfn.IFNA(INDEX('Shultis Faw'!$E$2:$E$26,MATCH($C449,'Shultis Faw'!$A$2:$A$26,1))+($C449-INDEX('Shultis Faw'!$A$2:$A$26,MATCH($C449,'Shultis Faw'!$A$2:$A$26,1)))*(INDEX('Shultis Faw'!$E$2:$E$26,MATCH($C449,'Shultis Faw'!$A$2:$A$26,1)+1)-INDEX('Shultis Faw'!$E$2:$E$26,MATCH($C449,'Shultis Faw'!$A$2:$A$26,1)))/(INDEX('Shultis Faw'!$A$2:$A$26,MATCH($C449,'Shultis Faw'!$A$2:$A$26,1)+1)-INDEX('Shultis Faw'!$A$2:$A$26,MATCH($C449,'Shultis Faw'!$A$2:$A$26,1))),$C449*'Shultis Faw'!$E$2/'Shultis Faw'!$A$2)</f>
        <v>7.6911481200000006E-2</v>
      </c>
      <c r="M449" s="83">
        <f>_xlfn.IFNA(INDEX('Shultis Faw'!$F$2:$F$26,MATCH($C449,'Shultis Faw'!$A$2:$A$26,1))+($C449-INDEX('Shultis Faw'!$A$2:$A$26,MATCH($C449,'Shultis Faw'!$A$2:$A$26,1)))*(INDEX('Shultis Faw'!$F$2:$F$26,MATCH($C449,'Shultis Faw'!$A$2:$A$26,1)+1)-INDEX('Shultis Faw'!$F$2:$F$26,MATCH($C449,'Shultis Faw'!$A$2:$A$26,1)))/(INDEX('Shultis Faw'!$A$2:$A$26,MATCH($C449,'Shultis Faw'!$A$2:$A$26,1)+1)-INDEX('Shultis Faw'!$A$2:$A$26,MATCH($C449,'Shultis Faw'!$A$2:$A$26,1))),$C449*'Shultis Faw'!$F$2/'Shultis Faw'!$A$2)</f>
        <v>14.48809492</v>
      </c>
      <c r="N449" s="83">
        <f>J449*(H449*'Externe blootstelling'!$D$23/2)^K449+L449*(TANH(((H449*'Externe blootstelling'!$D$23)/(2*M449))-2)-TANH(-2))/(1-TANH(-2))</f>
        <v>1.8967220748629694</v>
      </c>
      <c r="O449" s="83">
        <f>IF(N449=1,1+(I449-1)*H449*'Externe blootstelling'!$D$23/2,1+(I449-1)*(N449^(H449*'Externe blootstelling'!$D$23/2)-1)/(N449-1))</f>
        <v>8.3512689987390871</v>
      </c>
      <c r="P449" s="67">
        <f>G449*EXP(-H449*'Externe blootstelling'!$D$23/2)*O449</f>
        <v>0.15336932663996389</v>
      </c>
      <c r="Q449" s="68"/>
    </row>
    <row r="450" spans="1:17" x14ac:dyDescent="0.2">
      <c r="A450" s="217"/>
      <c r="B450" s="77"/>
      <c r="C450" s="66">
        <v>0.20836640000000001</v>
      </c>
      <c r="D450" s="66">
        <f t="shared" si="33"/>
        <v>3.3338623999999995E-14</v>
      </c>
      <c r="E450" s="66">
        <v>0.57699999999999996</v>
      </c>
      <c r="F450" s="66">
        <f>_xlfn.IFNA(INDEX('hp (pSv cm2)'!$B$2:$B$52,MATCH($C450,'hp (pSv cm2)'!$A$2:$A$52,1))+($C450-INDEX('hp (pSv cm2)'!$A$2:$A$52,MATCH($C450,'hp (pSv cm2)'!$A$2:$A$52,1)))*(INDEX('hp (pSv cm2)'!$B$2:$B$52,MATCH($C450,'hp (pSv cm2)'!$A$2:$A$52,1)+1)-INDEX('hp (pSv cm2)'!$B$2:$B$52,MATCH($C450,'hp (pSv cm2)'!$A$2:$A$52,1)))/(INDEX('hp (pSv cm2)'!$A$2:$A$52,MATCH($C450,'hp (pSv cm2)'!$A$2:$A$52,1)+1)-INDEX('hp (pSv cm2)'!$A$2:$A$52,MATCH($C450,'hp (pSv cm2)'!$A$2:$A$52,1))),$C450*'hp (pSv cm2)'!$B$2/'hp (pSv cm2)'!$A$2)</f>
        <v>1.04266864</v>
      </c>
      <c r="G450" s="67">
        <f t="shared" si="34"/>
        <v>0.60161980528000003</v>
      </c>
      <c r="H450" s="83">
        <f>_xlfn.IFNA(0.997*(INDEX('Mass attenuation coefficients'!$B$2:$B$37,MATCH($C450,'Mass attenuation coefficients'!$A$2:$A$37,1))+($C450-INDEX('Mass attenuation coefficients'!$A$2:$A$37,MATCH($C450,'Mass attenuation coefficients'!$A$2:$A$37,1)))*(INDEX('Mass attenuation coefficients'!$B$2:$B$37,MATCH($C450,'Mass attenuation coefficients'!$A$2:$A$37,1)+1)-INDEX('Mass attenuation coefficients'!$B$2:$B$37,MATCH($C450,'Mass attenuation coefficients'!$A$2:$A$37,1)))/(INDEX('Mass attenuation coefficients'!$A$2:$A$37,MATCH($C450,'Mass attenuation coefficients'!$A$2:$A$37,1)+1)-INDEX('Mass attenuation coefficients'!$A$2:$A$37,MATCH($C450,'Mass attenuation coefficients'!$A$2:$A$37,1)))),0.997*$C450*'Mass attenuation coefficients'!$B$2/'Mass attenuation coefficients'!$A$2)</f>
        <v>0.13505420065279999</v>
      </c>
      <c r="I450" s="83">
        <f>_xlfn.IFNA(INDEX('Shultis Faw'!$C$2:$C$26,MATCH($C450,'Shultis Faw'!$A$2:$A$26,1))+($C450-INDEX('Shultis Faw'!$A$2:$A$26,MATCH($C450,'Shultis Faw'!$A$2:$A$26,1)))*(INDEX('Shultis Faw'!$C$2:$C$26,MATCH($C450,'Shultis Faw'!$A$2:$A$26,1)+1)-INDEX('Shultis Faw'!$C$2:$C$26,MATCH($C450,'Shultis Faw'!$A$2:$A$26,1)))/(INDEX('Shultis Faw'!$A$2:$A$26,MATCH($C450,'Shultis Faw'!$A$2:$A$26,1)+1)-INDEX('Shultis Faw'!$A$2:$A$26,MATCH($C450,'Shultis Faw'!$A$2:$A$26,1))),$C450*'Shultis Faw'!$C$2/'Shultis Faw'!$A$2)</f>
        <v>3.4313154880000001</v>
      </c>
      <c r="J450" s="83">
        <f>_xlfn.IFNA(INDEX('Shultis Faw'!$D$2:$D$26,MATCH($C450,'Shultis Faw'!$A$2:$A$26,1))+($C450-INDEX('Shultis Faw'!$A$2:$A$26,MATCH($C450,'Shultis Faw'!$A$2:$A$26,1)))*(INDEX('Shultis Faw'!$D$2:$D$26,MATCH($C450,'Shultis Faw'!$A$2:$A$26,1)+1)-INDEX('Shultis Faw'!$D$2:$D$26,MATCH($C450,'Shultis Faw'!$A$2:$A$26,1)))/(INDEX('Shultis Faw'!$A$2:$A$26,MATCH($C450,'Shultis Faw'!$A$2:$A$26,1)+1)-INDEX('Shultis Faw'!$A$2:$A$26,MATCH($C450,'Shultis Faw'!$A$2:$A$26,1))),$C450*'Shultis Faw'!$D$2/'Shultis Faw'!$A$2)</f>
        <v>2.1429563520000001</v>
      </c>
      <c r="K450" s="83">
        <f>_xlfn.IFNA(INDEX('Shultis Faw'!$B$2:$B$26,MATCH($C450,'Shultis Faw'!$A$2:$A$26,1))+($C450-INDEX('Shultis Faw'!$A$2:$A$26,MATCH($C450,'Shultis Faw'!$A$2:$A$26,1)))*(INDEX('Shultis Faw'!$B$2:$B$26,MATCH($C450,'Shultis Faw'!$A$2:$A$26,1)+1)-INDEX('Shultis Faw'!$B$2:$B$26,MATCH($C450,'Shultis Faw'!$A$2:$A$26,1)))/(INDEX('Shultis Faw'!$A$2:$A$26,MATCH($C450,'Shultis Faw'!$A$2:$A$26,1)+1)-INDEX('Shultis Faw'!$A$2:$A$26,MATCH($C450,'Shultis Faw'!$A$2:$A$26,1))),$C450*'Shultis Faw'!$B$2/'Shultis Faw'!$A$2)</f>
        <v>-0.174996032</v>
      </c>
      <c r="L450" s="83">
        <f>_xlfn.IFNA(INDEX('Shultis Faw'!$E$2:$E$26,MATCH($C450,'Shultis Faw'!$A$2:$A$26,1))+($C450-INDEX('Shultis Faw'!$A$2:$A$26,MATCH($C450,'Shultis Faw'!$A$2:$A$26,1)))*(INDEX('Shultis Faw'!$E$2:$E$26,MATCH($C450,'Shultis Faw'!$A$2:$A$26,1)+1)-INDEX('Shultis Faw'!$E$2:$E$26,MATCH($C450,'Shultis Faw'!$A$2:$A$26,1)))/(INDEX('Shultis Faw'!$A$2:$A$26,MATCH($C450,'Shultis Faw'!$A$2:$A$26,1)+1)-INDEX('Shultis Faw'!$A$2:$A$26,MATCH($C450,'Shultis Faw'!$A$2:$A$26,1))),$C450*'Shultis Faw'!$E$2/'Shultis Faw'!$A$2)</f>
        <v>7.6404398400000004E-2</v>
      </c>
      <c r="M450" s="83">
        <f>_xlfn.IFNA(INDEX('Shultis Faw'!$F$2:$F$26,MATCH($C450,'Shultis Faw'!$A$2:$A$26,1))+($C450-INDEX('Shultis Faw'!$A$2:$A$26,MATCH($C450,'Shultis Faw'!$A$2:$A$26,1)))*(INDEX('Shultis Faw'!$F$2:$F$26,MATCH($C450,'Shultis Faw'!$A$2:$A$26,1)+1)-INDEX('Shultis Faw'!$F$2:$F$26,MATCH($C450,'Shultis Faw'!$A$2:$A$26,1)))/(INDEX('Shultis Faw'!$A$2:$A$26,MATCH($C450,'Shultis Faw'!$A$2:$A$26,1)+1)-INDEX('Shultis Faw'!$A$2:$A$26,MATCH($C450,'Shultis Faw'!$A$2:$A$26,1))),$C450*'Shultis Faw'!$F$2/'Shultis Faw'!$A$2)</f>
        <v>14.47573744</v>
      </c>
      <c r="N450" s="83">
        <f>J450*(H450*'Externe blootstelling'!$D$23/2)^K450+L450*(TANH(((H450*'Externe blootstelling'!$D$23)/(2*M450))-2)-TANH(-2))/(1-TANH(-2))</f>
        <v>1.8943526758081888</v>
      </c>
      <c r="O450" s="83">
        <f>IF(N450=1,1+(I450-1)*H450*'Externe blootstelling'!$D$23/2,1+(I450-1)*(N450^(H450*'Externe blootstelling'!$D$23/2)-1)/(N450-1))</f>
        <v>8.1993014167068257</v>
      </c>
      <c r="P450" s="67">
        <f>G450*EXP(-H450*'Externe blootstelling'!$D$23/2)*O450</f>
        <v>0.65057828777768811</v>
      </c>
      <c r="Q450" s="68"/>
    </row>
    <row r="451" spans="1:17" x14ac:dyDescent="0.2">
      <c r="A451" s="217"/>
      <c r="B451" s="77"/>
      <c r="C451" s="66">
        <v>0.21443389999999998</v>
      </c>
      <c r="D451" s="66">
        <f t="shared" si="33"/>
        <v>3.4309423999999997E-14</v>
      </c>
      <c r="E451" s="66">
        <v>6.59E-2</v>
      </c>
      <c r="F451" s="66">
        <f>_xlfn.IFNA(INDEX('hp (pSv cm2)'!$B$2:$B$52,MATCH($C451,'hp (pSv cm2)'!$A$2:$A$52,1))+($C451-INDEX('hp (pSv cm2)'!$A$2:$A$52,MATCH($C451,'hp (pSv cm2)'!$A$2:$A$52,1)))*(INDEX('hp (pSv cm2)'!$B$2:$B$52,MATCH($C451,'hp (pSv cm2)'!$A$2:$A$52,1)+1)-INDEX('hp (pSv cm2)'!$B$2:$B$52,MATCH($C451,'hp (pSv cm2)'!$A$2:$A$52,1)))/(INDEX('hp (pSv cm2)'!$A$2:$A$52,MATCH($C451,'hp (pSv cm2)'!$A$2:$A$52,1)+1)-INDEX('hp (pSv cm2)'!$A$2:$A$52,MATCH($C451,'hp (pSv cm2)'!$A$2:$A$52,1))),$C451*'hp (pSv cm2)'!$B$2/'hp (pSv cm2)'!$A$2)</f>
        <v>1.0736128899999999</v>
      </c>
      <c r="G451" s="67">
        <f t="shared" si="34"/>
        <v>7.075108945099999E-2</v>
      </c>
      <c r="H451" s="83">
        <f>_xlfn.IFNA(0.997*(INDEX('Mass attenuation coefficients'!$B$2:$B$37,MATCH($C451,'Mass attenuation coefficients'!$A$2:$A$37,1))+($C451-INDEX('Mass attenuation coefficients'!$A$2:$A$37,MATCH($C451,'Mass attenuation coefficients'!$A$2:$A$37,1)))*(INDEX('Mass attenuation coefficients'!$B$2:$B$37,MATCH($C451,'Mass attenuation coefficients'!$A$2:$A$37,1)+1)-INDEX('Mass attenuation coefficients'!$B$2:$B$37,MATCH($C451,'Mass attenuation coefficients'!$A$2:$A$37,1)))/(INDEX('Mass attenuation coefficients'!$A$2:$A$37,MATCH($C451,'Mass attenuation coefficients'!$A$2:$A$37,1)+1)-INDEX('Mass attenuation coefficients'!$A$2:$A$37,MATCH($C451,'Mass attenuation coefficients'!$A$2:$A$37,1)))),0.997*$C451*'Mass attenuation coefficients'!$B$2/'Mass attenuation coefficients'!$A$2)</f>
        <v>0.13394112991280002</v>
      </c>
      <c r="I451" s="83">
        <f>_xlfn.IFNA(INDEX('Shultis Faw'!$C$2:$C$26,MATCH($C451,'Shultis Faw'!$A$2:$A$26,1))+($C451-INDEX('Shultis Faw'!$A$2:$A$26,MATCH($C451,'Shultis Faw'!$A$2:$A$26,1)))*(INDEX('Shultis Faw'!$C$2:$C$26,MATCH($C451,'Shultis Faw'!$A$2:$A$26,1)+1)-INDEX('Shultis Faw'!$C$2:$C$26,MATCH($C451,'Shultis Faw'!$A$2:$A$26,1)))/(INDEX('Shultis Faw'!$A$2:$A$26,MATCH($C451,'Shultis Faw'!$A$2:$A$26,1)+1)-INDEX('Shultis Faw'!$A$2:$A$26,MATCH($C451,'Shultis Faw'!$A$2:$A$26,1))),$C451*'Shultis Faw'!$C$2/'Shultis Faw'!$A$2)</f>
        <v>3.3974588380000004</v>
      </c>
      <c r="J451" s="83">
        <f>_xlfn.IFNA(INDEX('Shultis Faw'!$D$2:$D$26,MATCH($C451,'Shultis Faw'!$A$2:$A$26,1))+($C451-INDEX('Shultis Faw'!$A$2:$A$26,MATCH($C451,'Shultis Faw'!$A$2:$A$26,1)))*(INDEX('Shultis Faw'!$D$2:$D$26,MATCH($C451,'Shultis Faw'!$A$2:$A$26,1)+1)-INDEX('Shultis Faw'!$D$2:$D$26,MATCH($C451,'Shultis Faw'!$A$2:$A$26,1)))/(INDEX('Shultis Faw'!$A$2:$A$26,MATCH($C451,'Shultis Faw'!$A$2:$A$26,1)+1)-INDEX('Shultis Faw'!$A$2:$A$26,MATCH($C451,'Shultis Faw'!$A$2:$A$26,1))),$C451*'Shultis Faw'!$D$2/'Shultis Faw'!$A$2)</f>
        <v>2.1349472519999999</v>
      </c>
      <c r="K451" s="83">
        <f>_xlfn.IFNA(INDEX('Shultis Faw'!$B$2:$B$26,MATCH($C451,'Shultis Faw'!$A$2:$A$26,1))+($C451-INDEX('Shultis Faw'!$A$2:$A$26,MATCH($C451,'Shultis Faw'!$A$2:$A$26,1)))*(INDEX('Shultis Faw'!$B$2:$B$26,MATCH($C451,'Shultis Faw'!$A$2:$A$26,1)+1)-INDEX('Shultis Faw'!$B$2:$B$26,MATCH($C451,'Shultis Faw'!$A$2:$A$26,1)))/(INDEX('Shultis Faw'!$A$2:$A$26,MATCH($C451,'Shultis Faw'!$A$2:$A$26,1)+1)-INDEX('Shultis Faw'!$A$2:$A$26,MATCH($C451,'Shultis Faw'!$A$2:$A$26,1))),$C451*'Shultis Faw'!$B$2/'Shultis Faw'!$A$2)</f>
        <v>-0.17426793199999999</v>
      </c>
      <c r="L451" s="83">
        <f>_xlfn.IFNA(INDEX('Shultis Faw'!$E$2:$E$26,MATCH($C451,'Shultis Faw'!$A$2:$A$26,1))+($C451-INDEX('Shultis Faw'!$A$2:$A$26,MATCH($C451,'Shultis Faw'!$A$2:$A$26,1)))*(INDEX('Shultis Faw'!$E$2:$E$26,MATCH($C451,'Shultis Faw'!$A$2:$A$26,1)+1)-INDEX('Shultis Faw'!$E$2:$E$26,MATCH($C451,'Shultis Faw'!$A$2:$A$26,1)))/(INDEX('Shultis Faw'!$A$2:$A$26,MATCH($C451,'Shultis Faw'!$A$2:$A$26,1)+1)-INDEX('Shultis Faw'!$A$2:$A$26,MATCH($C451,'Shultis Faw'!$A$2:$A$26,1))),$C451*'Shultis Faw'!$E$2/'Shultis Faw'!$A$2)</f>
        <v>7.5682365900000007E-2</v>
      </c>
      <c r="M451" s="83">
        <f>_xlfn.IFNA(INDEX('Shultis Faw'!$F$2:$F$26,MATCH($C451,'Shultis Faw'!$A$2:$A$26,1))+($C451-INDEX('Shultis Faw'!$A$2:$A$26,MATCH($C451,'Shultis Faw'!$A$2:$A$26,1)))*(INDEX('Shultis Faw'!$F$2:$F$26,MATCH($C451,'Shultis Faw'!$A$2:$A$26,1)+1)-INDEX('Shultis Faw'!$F$2:$F$26,MATCH($C451,'Shultis Faw'!$A$2:$A$26,1)))/(INDEX('Shultis Faw'!$A$2:$A$26,MATCH($C451,'Shultis Faw'!$A$2:$A$26,1)+1)-INDEX('Shultis Faw'!$A$2:$A$26,MATCH($C451,'Shultis Faw'!$A$2:$A$26,1))),$C451*'Shultis Faw'!$F$2/'Shultis Faw'!$A$2)</f>
        <v>14.45814169</v>
      </c>
      <c r="N451" s="83">
        <f>J451*(H451*'Externe blootstelling'!$D$23/2)^K451+L451*(TANH(((H451*'Externe blootstelling'!$D$23)/(2*M451))-2)-TANH(-2))/(1-TANH(-2))</f>
        <v>1.8909613704004413</v>
      </c>
      <c r="O451" s="83">
        <f>IF(N451=1,1+(I451-1)*H451*'Externe blootstelling'!$D$23/2,1+(I451-1)*(N451^(H451*'Externe blootstelling'!$D$23/2)-1)/(N451-1))</f>
        <v>7.9870097236643796</v>
      </c>
      <c r="P451" s="67">
        <f>G451*EXP(-H451*'Externe blootstelling'!$D$23/2)*O451</f>
        <v>7.5782502152466236E-2</v>
      </c>
      <c r="Q451" s="68"/>
    </row>
    <row r="452" spans="1:17" x14ac:dyDescent="0.2">
      <c r="A452" s="217"/>
      <c r="B452" s="77"/>
      <c r="C452" s="66">
        <v>0.21810390000000002</v>
      </c>
      <c r="D452" s="66">
        <f t="shared" si="33"/>
        <v>3.4896624000000003E-14</v>
      </c>
      <c r="E452" s="66">
        <v>3.2800000000000003E-2</v>
      </c>
      <c r="F452" s="66">
        <f>_xlfn.IFNA(INDEX('hp (pSv cm2)'!$B$2:$B$52,MATCH($C452,'hp (pSv cm2)'!$A$2:$A$52,1))+($C452-INDEX('hp (pSv cm2)'!$A$2:$A$52,MATCH($C452,'hp (pSv cm2)'!$A$2:$A$52,1)))*(INDEX('hp (pSv cm2)'!$B$2:$B$52,MATCH($C452,'hp (pSv cm2)'!$A$2:$A$52,1)+1)-INDEX('hp (pSv cm2)'!$B$2:$B$52,MATCH($C452,'hp (pSv cm2)'!$A$2:$A$52,1)))/(INDEX('hp (pSv cm2)'!$A$2:$A$52,MATCH($C452,'hp (pSv cm2)'!$A$2:$A$52,1)+1)-INDEX('hp (pSv cm2)'!$A$2:$A$52,MATCH($C452,'hp (pSv cm2)'!$A$2:$A$52,1))),$C452*'hp (pSv cm2)'!$B$2/'hp (pSv cm2)'!$A$2)</f>
        <v>1.09232989</v>
      </c>
      <c r="G452" s="67">
        <f t="shared" si="34"/>
        <v>3.5828420392000002E-2</v>
      </c>
      <c r="H452" s="83">
        <f>_xlfn.IFNA(0.997*(INDEX('Mass attenuation coefficients'!$B$2:$B$37,MATCH($C452,'Mass attenuation coefficients'!$A$2:$A$37,1))+($C452-INDEX('Mass attenuation coefficients'!$A$2:$A$37,MATCH($C452,'Mass attenuation coefficients'!$A$2:$A$37,1)))*(INDEX('Mass attenuation coefficients'!$B$2:$B$37,MATCH($C452,'Mass attenuation coefficients'!$A$2:$A$37,1)+1)-INDEX('Mass attenuation coefficients'!$B$2:$B$37,MATCH($C452,'Mass attenuation coefficients'!$A$2:$A$37,1)))/(INDEX('Mass attenuation coefficients'!$A$2:$A$37,MATCH($C452,'Mass attenuation coefficients'!$A$2:$A$37,1)+1)-INDEX('Mass attenuation coefficients'!$A$2:$A$37,MATCH($C452,'Mass attenuation coefficients'!$A$2:$A$37,1)))),0.997*$C452*'Mass attenuation coefficients'!$B$2/'Mass attenuation coefficients'!$A$2)</f>
        <v>0.1332678757528</v>
      </c>
      <c r="I452" s="83">
        <f>_xlfn.IFNA(INDEX('Shultis Faw'!$C$2:$C$26,MATCH($C452,'Shultis Faw'!$A$2:$A$26,1))+($C452-INDEX('Shultis Faw'!$A$2:$A$26,MATCH($C452,'Shultis Faw'!$A$2:$A$26,1)))*(INDEX('Shultis Faw'!$C$2:$C$26,MATCH($C452,'Shultis Faw'!$A$2:$A$26,1)+1)-INDEX('Shultis Faw'!$C$2:$C$26,MATCH($C452,'Shultis Faw'!$A$2:$A$26,1)))/(INDEX('Shultis Faw'!$A$2:$A$26,MATCH($C452,'Shultis Faw'!$A$2:$A$26,1)+1)-INDEX('Shultis Faw'!$A$2:$A$26,MATCH($C452,'Shultis Faw'!$A$2:$A$26,1))),$C452*'Shultis Faw'!$C$2/'Shultis Faw'!$A$2)</f>
        <v>3.3769802380000002</v>
      </c>
      <c r="J452" s="83">
        <f>_xlfn.IFNA(INDEX('Shultis Faw'!$D$2:$D$26,MATCH($C452,'Shultis Faw'!$A$2:$A$26,1))+($C452-INDEX('Shultis Faw'!$A$2:$A$26,MATCH($C452,'Shultis Faw'!$A$2:$A$26,1)))*(INDEX('Shultis Faw'!$D$2:$D$26,MATCH($C452,'Shultis Faw'!$A$2:$A$26,1)+1)-INDEX('Shultis Faw'!$D$2:$D$26,MATCH($C452,'Shultis Faw'!$A$2:$A$26,1)))/(INDEX('Shultis Faw'!$A$2:$A$26,MATCH($C452,'Shultis Faw'!$A$2:$A$26,1)+1)-INDEX('Shultis Faw'!$A$2:$A$26,MATCH($C452,'Shultis Faw'!$A$2:$A$26,1))),$C452*'Shultis Faw'!$D$2/'Shultis Faw'!$A$2)</f>
        <v>2.1301028519999998</v>
      </c>
      <c r="K452" s="83">
        <f>_xlfn.IFNA(INDEX('Shultis Faw'!$B$2:$B$26,MATCH($C452,'Shultis Faw'!$A$2:$A$26,1))+($C452-INDEX('Shultis Faw'!$A$2:$A$26,MATCH($C452,'Shultis Faw'!$A$2:$A$26,1)))*(INDEX('Shultis Faw'!$B$2:$B$26,MATCH($C452,'Shultis Faw'!$A$2:$A$26,1)+1)-INDEX('Shultis Faw'!$B$2:$B$26,MATCH($C452,'Shultis Faw'!$A$2:$A$26,1)))/(INDEX('Shultis Faw'!$A$2:$A$26,MATCH($C452,'Shultis Faw'!$A$2:$A$26,1)+1)-INDEX('Shultis Faw'!$A$2:$A$26,MATCH($C452,'Shultis Faw'!$A$2:$A$26,1))),$C452*'Shultis Faw'!$B$2/'Shultis Faw'!$A$2)</f>
        <v>-0.17382753199999998</v>
      </c>
      <c r="L452" s="83">
        <f>_xlfn.IFNA(INDEX('Shultis Faw'!$E$2:$E$26,MATCH($C452,'Shultis Faw'!$A$2:$A$26,1))+($C452-INDEX('Shultis Faw'!$A$2:$A$26,MATCH($C452,'Shultis Faw'!$A$2:$A$26,1)))*(INDEX('Shultis Faw'!$E$2:$E$26,MATCH($C452,'Shultis Faw'!$A$2:$A$26,1)+1)-INDEX('Shultis Faw'!$E$2:$E$26,MATCH($C452,'Shultis Faw'!$A$2:$A$26,1)))/(INDEX('Shultis Faw'!$A$2:$A$26,MATCH($C452,'Shultis Faw'!$A$2:$A$26,1)+1)-INDEX('Shultis Faw'!$A$2:$A$26,MATCH($C452,'Shultis Faw'!$A$2:$A$26,1))),$C452*'Shultis Faw'!$E$2/'Shultis Faw'!$A$2)</f>
        <v>7.5245635899999996E-2</v>
      </c>
      <c r="M452" s="83">
        <f>_xlfn.IFNA(INDEX('Shultis Faw'!$F$2:$F$26,MATCH($C452,'Shultis Faw'!$A$2:$A$26,1))+($C452-INDEX('Shultis Faw'!$A$2:$A$26,MATCH($C452,'Shultis Faw'!$A$2:$A$26,1)))*(INDEX('Shultis Faw'!$F$2:$F$26,MATCH($C452,'Shultis Faw'!$A$2:$A$26,1)+1)-INDEX('Shultis Faw'!$F$2:$F$26,MATCH($C452,'Shultis Faw'!$A$2:$A$26,1)))/(INDEX('Shultis Faw'!$A$2:$A$26,MATCH($C452,'Shultis Faw'!$A$2:$A$26,1)+1)-INDEX('Shultis Faw'!$A$2:$A$26,MATCH($C452,'Shultis Faw'!$A$2:$A$26,1))),$C452*'Shultis Faw'!$F$2/'Shultis Faw'!$A$2)</f>
        <v>14.44749869</v>
      </c>
      <c r="N452" s="83">
        <f>J452*(H452*'Externe blootstelling'!$D$23/2)^K452+L452*(TANH(((H452*'Externe blootstelling'!$D$23)/(2*M452))-2)-TANH(-2))/(1-TANH(-2))</f>
        <v>1.8889001114463044</v>
      </c>
      <c r="O452" s="83">
        <f>IF(N452=1,1+(I452-1)*H452*'Externe blootstelling'!$D$23/2,1+(I452-1)*(N452^(H452*'Externe blootstelling'!$D$23/2)-1)/(N452-1))</f>
        <v>7.8609024055792727</v>
      </c>
      <c r="P452" s="67">
        <f>G452*EXP(-H452*'Externe blootstelling'!$D$23/2)*O452</f>
        <v>3.8153775505426223E-2</v>
      </c>
      <c r="Q452" s="68"/>
    </row>
    <row r="453" spans="1:17" x14ac:dyDescent="0.2">
      <c r="A453" s="217"/>
      <c r="B453" s="77"/>
      <c r="C453" s="66">
        <v>0.22848380000000001</v>
      </c>
      <c r="D453" s="66">
        <f t="shared" si="33"/>
        <v>3.6557408000000004E-14</v>
      </c>
      <c r="E453" s="66">
        <v>0.37</v>
      </c>
      <c r="F453" s="66">
        <f>_xlfn.IFNA(INDEX('hp (pSv cm2)'!$B$2:$B$52,MATCH($C453,'hp (pSv cm2)'!$A$2:$A$52,1))+($C453-INDEX('hp (pSv cm2)'!$A$2:$A$52,MATCH($C453,'hp (pSv cm2)'!$A$2:$A$52,1)))*(INDEX('hp (pSv cm2)'!$B$2:$B$52,MATCH($C453,'hp (pSv cm2)'!$A$2:$A$52,1)+1)-INDEX('hp (pSv cm2)'!$B$2:$B$52,MATCH($C453,'hp (pSv cm2)'!$A$2:$A$52,1)))/(INDEX('hp (pSv cm2)'!$A$2:$A$52,MATCH($C453,'hp (pSv cm2)'!$A$2:$A$52,1)+1)-INDEX('hp (pSv cm2)'!$A$2:$A$52,MATCH($C453,'hp (pSv cm2)'!$A$2:$A$52,1))),$C453*'hp (pSv cm2)'!$B$2/'hp (pSv cm2)'!$A$2)</f>
        <v>1.1452673799999999</v>
      </c>
      <c r="G453" s="67">
        <f t="shared" si="34"/>
        <v>0.42374893059999996</v>
      </c>
      <c r="H453" s="83">
        <f>_xlfn.IFNA(0.997*(INDEX('Mass attenuation coefficients'!$B$2:$B$37,MATCH($C453,'Mass attenuation coefficients'!$A$2:$A$37,1))+($C453-INDEX('Mass attenuation coefficients'!$A$2:$A$37,MATCH($C453,'Mass attenuation coefficients'!$A$2:$A$37,1)))*(INDEX('Mass attenuation coefficients'!$B$2:$B$37,MATCH($C453,'Mass attenuation coefficients'!$A$2:$A$37,1)+1)-INDEX('Mass attenuation coefficients'!$B$2:$B$37,MATCH($C453,'Mass attenuation coefficients'!$A$2:$A$37,1)))/(INDEX('Mass attenuation coefficients'!$A$2:$A$37,MATCH($C453,'Mass attenuation coefficients'!$A$2:$A$37,1)+1)-INDEX('Mass attenuation coefficients'!$A$2:$A$37,MATCH($C453,'Mass attenuation coefficients'!$A$2:$A$37,1)))),0.997*$C453*'Mass attenuation coefficients'!$B$2/'Mass attenuation coefficients'!$A$2)</f>
        <v>0.13136370385760002</v>
      </c>
      <c r="I453" s="83">
        <f>_xlfn.IFNA(INDEX('Shultis Faw'!$C$2:$C$26,MATCH($C453,'Shultis Faw'!$A$2:$A$26,1))+($C453-INDEX('Shultis Faw'!$A$2:$A$26,MATCH($C453,'Shultis Faw'!$A$2:$A$26,1)))*(INDEX('Shultis Faw'!$C$2:$C$26,MATCH($C453,'Shultis Faw'!$A$2:$A$26,1)+1)-INDEX('Shultis Faw'!$C$2:$C$26,MATCH($C453,'Shultis Faw'!$A$2:$A$26,1)))/(INDEX('Shultis Faw'!$A$2:$A$26,MATCH($C453,'Shultis Faw'!$A$2:$A$26,1)+1)-INDEX('Shultis Faw'!$A$2:$A$26,MATCH($C453,'Shultis Faw'!$A$2:$A$26,1))),$C453*'Shultis Faw'!$C$2/'Shultis Faw'!$A$2)</f>
        <v>3.3190603960000002</v>
      </c>
      <c r="J453" s="83">
        <f>_xlfn.IFNA(INDEX('Shultis Faw'!$D$2:$D$26,MATCH($C453,'Shultis Faw'!$A$2:$A$26,1))+($C453-INDEX('Shultis Faw'!$A$2:$A$26,MATCH($C453,'Shultis Faw'!$A$2:$A$26,1)))*(INDEX('Shultis Faw'!$D$2:$D$26,MATCH($C453,'Shultis Faw'!$A$2:$A$26,1)+1)-INDEX('Shultis Faw'!$D$2:$D$26,MATCH($C453,'Shultis Faw'!$A$2:$A$26,1)))/(INDEX('Shultis Faw'!$A$2:$A$26,MATCH($C453,'Shultis Faw'!$A$2:$A$26,1)+1)-INDEX('Shultis Faw'!$A$2:$A$26,MATCH($C453,'Shultis Faw'!$A$2:$A$26,1))),$C453*'Shultis Faw'!$D$2/'Shultis Faw'!$A$2)</f>
        <v>2.116401384</v>
      </c>
      <c r="K453" s="83">
        <f>_xlfn.IFNA(INDEX('Shultis Faw'!$B$2:$B$26,MATCH($C453,'Shultis Faw'!$A$2:$A$26,1))+($C453-INDEX('Shultis Faw'!$A$2:$A$26,MATCH($C453,'Shultis Faw'!$A$2:$A$26,1)))*(INDEX('Shultis Faw'!$B$2:$B$26,MATCH($C453,'Shultis Faw'!$A$2:$A$26,1)+1)-INDEX('Shultis Faw'!$B$2:$B$26,MATCH($C453,'Shultis Faw'!$A$2:$A$26,1)))/(INDEX('Shultis Faw'!$A$2:$A$26,MATCH($C453,'Shultis Faw'!$A$2:$A$26,1)+1)-INDEX('Shultis Faw'!$A$2:$A$26,MATCH($C453,'Shultis Faw'!$A$2:$A$26,1))),$C453*'Shultis Faw'!$B$2/'Shultis Faw'!$A$2)</f>
        <v>-0.17258194399999999</v>
      </c>
      <c r="L453" s="83">
        <f>_xlfn.IFNA(INDEX('Shultis Faw'!$E$2:$E$26,MATCH($C453,'Shultis Faw'!$A$2:$A$26,1))+($C453-INDEX('Shultis Faw'!$A$2:$A$26,MATCH($C453,'Shultis Faw'!$A$2:$A$26,1)))*(INDEX('Shultis Faw'!$E$2:$E$26,MATCH($C453,'Shultis Faw'!$A$2:$A$26,1)+1)-INDEX('Shultis Faw'!$E$2:$E$26,MATCH($C453,'Shultis Faw'!$A$2:$A$26,1)))/(INDEX('Shultis Faw'!$A$2:$A$26,MATCH($C453,'Shultis Faw'!$A$2:$A$26,1)+1)-INDEX('Shultis Faw'!$A$2:$A$26,MATCH($C453,'Shultis Faw'!$A$2:$A$26,1))),$C453*'Shultis Faw'!$E$2/'Shultis Faw'!$A$2)</f>
        <v>7.40104278E-2</v>
      </c>
      <c r="M453" s="83">
        <f>_xlfn.IFNA(INDEX('Shultis Faw'!$F$2:$F$26,MATCH($C453,'Shultis Faw'!$A$2:$A$26,1))+($C453-INDEX('Shultis Faw'!$A$2:$A$26,MATCH($C453,'Shultis Faw'!$A$2:$A$26,1)))*(INDEX('Shultis Faw'!$F$2:$F$26,MATCH($C453,'Shultis Faw'!$A$2:$A$26,1)+1)-INDEX('Shultis Faw'!$F$2:$F$26,MATCH($C453,'Shultis Faw'!$A$2:$A$26,1)))/(INDEX('Shultis Faw'!$A$2:$A$26,MATCH($C453,'Shultis Faw'!$A$2:$A$26,1)+1)-INDEX('Shultis Faw'!$A$2:$A$26,MATCH($C453,'Shultis Faw'!$A$2:$A$26,1))),$C453*'Shultis Faw'!$F$2/'Shultis Faw'!$A$2)</f>
        <v>14.417396979999999</v>
      </c>
      <c r="N453" s="83">
        <f>J453*(H453*'Externe blootstelling'!$D$23/2)^K453+L453*(TANH(((H453*'Externe blootstelling'!$D$23)/(2*M453))-2)-TANH(-2))/(1-TANH(-2))</f>
        <v>1.8830295343189285</v>
      </c>
      <c r="O453" s="83">
        <f>IF(N453=1,1+(I453-1)*H453*'Externe blootstelling'!$D$23/2,1+(I453-1)*(N453^(H453*'Externe blootstelling'!$D$23/2)-1)/(N453-1))</f>
        <v>7.5134170067568622</v>
      </c>
      <c r="P453" s="67">
        <f>G453*EXP(-H453*'Externe blootstelling'!$D$23/2)*O453</f>
        <v>0.44380085352170306</v>
      </c>
      <c r="Q453" s="68"/>
    </row>
    <row r="454" spans="1:17" x14ac:dyDescent="0.2">
      <c r="A454" s="217"/>
      <c r="B454" s="77"/>
      <c r="C454" s="66">
        <v>0.23386080000000001</v>
      </c>
      <c r="D454" s="66">
        <f t="shared" si="33"/>
        <v>3.7417727999999999E-14</v>
      </c>
      <c r="E454" s="66">
        <v>5.5800000000000002E-2</v>
      </c>
      <c r="F454" s="66">
        <f>_xlfn.IFNA(INDEX('hp (pSv cm2)'!$B$2:$B$52,MATCH($C454,'hp (pSv cm2)'!$A$2:$A$52,1))+($C454-INDEX('hp (pSv cm2)'!$A$2:$A$52,MATCH($C454,'hp (pSv cm2)'!$A$2:$A$52,1)))*(INDEX('hp (pSv cm2)'!$B$2:$B$52,MATCH($C454,'hp (pSv cm2)'!$A$2:$A$52,1)+1)-INDEX('hp (pSv cm2)'!$B$2:$B$52,MATCH($C454,'hp (pSv cm2)'!$A$2:$A$52,1)))/(INDEX('hp (pSv cm2)'!$A$2:$A$52,MATCH($C454,'hp (pSv cm2)'!$A$2:$A$52,1)+1)-INDEX('hp (pSv cm2)'!$A$2:$A$52,MATCH($C454,'hp (pSv cm2)'!$A$2:$A$52,1))),$C454*'hp (pSv cm2)'!$B$2/'hp (pSv cm2)'!$A$2)</f>
        <v>1.17269008</v>
      </c>
      <c r="G454" s="67">
        <f t="shared" si="34"/>
        <v>6.5436106463999999E-2</v>
      </c>
      <c r="H454" s="83">
        <f>_xlfn.IFNA(0.997*(INDEX('Mass attenuation coefficients'!$B$2:$B$37,MATCH($C454,'Mass attenuation coefficients'!$A$2:$A$37,1))+($C454-INDEX('Mass attenuation coefficients'!$A$2:$A$37,MATCH($C454,'Mass attenuation coefficients'!$A$2:$A$37,1)))*(INDEX('Mass attenuation coefficients'!$B$2:$B$37,MATCH($C454,'Mass attenuation coefficients'!$A$2:$A$37,1)+1)-INDEX('Mass attenuation coefficients'!$B$2:$B$37,MATCH($C454,'Mass attenuation coefficients'!$A$2:$A$37,1)))/(INDEX('Mass attenuation coefficients'!$A$2:$A$37,MATCH($C454,'Mass attenuation coefficients'!$A$2:$A$37,1)+1)-INDEX('Mass attenuation coefficients'!$A$2:$A$37,MATCH($C454,'Mass attenuation coefficients'!$A$2:$A$37,1)))),0.997*$C454*'Mass attenuation coefficients'!$B$2/'Mass attenuation coefficients'!$A$2)</f>
        <v>0.13037730396160002</v>
      </c>
      <c r="I454" s="83">
        <f>_xlfn.IFNA(INDEX('Shultis Faw'!$C$2:$C$26,MATCH($C454,'Shultis Faw'!$A$2:$A$26,1))+($C454-INDEX('Shultis Faw'!$A$2:$A$26,MATCH($C454,'Shultis Faw'!$A$2:$A$26,1)))*(INDEX('Shultis Faw'!$C$2:$C$26,MATCH($C454,'Shultis Faw'!$A$2:$A$26,1)+1)-INDEX('Shultis Faw'!$C$2:$C$26,MATCH($C454,'Shultis Faw'!$A$2:$A$26,1)))/(INDEX('Shultis Faw'!$A$2:$A$26,MATCH($C454,'Shultis Faw'!$A$2:$A$26,1)+1)-INDEX('Shultis Faw'!$A$2:$A$26,MATCH($C454,'Shultis Faw'!$A$2:$A$26,1))),$C454*'Shultis Faw'!$C$2/'Shultis Faw'!$A$2)</f>
        <v>3.289056736</v>
      </c>
      <c r="J454" s="83">
        <f>_xlfn.IFNA(INDEX('Shultis Faw'!$D$2:$D$26,MATCH($C454,'Shultis Faw'!$A$2:$A$26,1))+($C454-INDEX('Shultis Faw'!$A$2:$A$26,MATCH($C454,'Shultis Faw'!$A$2:$A$26,1)))*(INDEX('Shultis Faw'!$D$2:$D$26,MATCH($C454,'Shultis Faw'!$A$2:$A$26,1)+1)-INDEX('Shultis Faw'!$D$2:$D$26,MATCH($C454,'Shultis Faw'!$A$2:$A$26,1)))/(INDEX('Shultis Faw'!$A$2:$A$26,MATCH($C454,'Shultis Faw'!$A$2:$A$26,1)+1)-INDEX('Shultis Faw'!$A$2:$A$26,MATCH($C454,'Shultis Faw'!$A$2:$A$26,1))),$C454*'Shultis Faw'!$D$2/'Shultis Faw'!$A$2)</f>
        <v>2.109303744</v>
      </c>
      <c r="K454" s="83">
        <f>_xlfn.IFNA(INDEX('Shultis Faw'!$B$2:$B$26,MATCH($C454,'Shultis Faw'!$A$2:$A$26,1))+($C454-INDEX('Shultis Faw'!$A$2:$A$26,MATCH($C454,'Shultis Faw'!$A$2:$A$26,1)))*(INDEX('Shultis Faw'!$B$2:$B$26,MATCH($C454,'Shultis Faw'!$A$2:$A$26,1)+1)-INDEX('Shultis Faw'!$B$2:$B$26,MATCH($C454,'Shultis Faw'!$A$2:$A$26,1)))/(INDEX('Shultis Faw'!$A$2:$A$26,MATCH($C454,'Shultis Faw'!$A$2:$A$26,1)+1)-INDEX('Shultis Faw'!$A$2:$A$26,MATCH($C454,'Shultis Faw'!$A$2:$A$26,1))),$C454*'Shultis Faw'!$B$2/'Shultis Faw'!$A$2)</f>
        <v>-0.171936704</v>
      </c>
      <c r="L454" s="83">
        <f>_xlfn.IFNA(INDEX('Shultis Faw'!$E$2:$E$26,MATCH($C454,'Shultis Faw'!$A$2:$A$26,1))+($C454-INDEX('Shultis Faw'!$A$2:$A$26,MATCH($C454,'Shultis Faw'!$A$2:$A$26,1)))*(INDEX('Shultis Faw'!$E$2:$E$26,MATCH($C454,'Shultis Faw'!$A$2:$A$26,1)+1)-INDEX('Shultis Faw'!$E$2:$E$26,MATCH($C454,'Shultis Faw'!$A$2:$A$26,1)))/(INDEX('Shultis Faw'!$A$2:$A$26,MATCH($C454,'Shultis Faw'!$A$2:$A$26,1)+1)-INDEX('Shultis Faw'!$A$2:$A$26,MATCH($C454,'Shultis Faw'!$A$2:$A$26,1))),$C454*'Shultis Faw'!$E$2/'Shultis Faw'!$A$2)</f>
        <v>7.3370564799999996E-2</v>
      </c>
      <c r="M454" s="83">
        <f>_xlfn.IFNA(INDEX('Shultis Faw'!$F$2:$F$26,MATCH($C454,'Shultis Faw'!$A$2:$A$26,1))+($C454-INDEX('Shultis Faw'!$A$2:$A$26,MATCH($C454,'Shultis Faw'!$A$2:$A$26,1)))*(INDEX('Shultis Faw'!$F$2:$F$26,MATCH($C454,'Shultis Faw'!$A$2:$A$26,1)+1)-INDEX('Shultis Faw'!$F$2:$F$26,MATCH($C454,'Shultis Faw'!$A$2:$A$26,1)))/(INDEX('Shultis Faw'!$A$2:$A$26,MATCH($C454,'Shultis Faw'!$A$2:$A$26,1)+1)-INDEX('Shultis Faw'!$A$2:$A$26,MATCH($C454,'Shultis Faw'!$A$2:$A$26,1))),$C454*'Shultis Faw'!$F$2/'Shultis Faw'!$A$2)</f>
        <v>14.40180368</v>
      </c>
      <c r="N454" s="83">
        <f>J454*(H454*'Externe blootstelling'!$D$23/2)^K454+L454*(TANH(((H454*'Externe blootstelling'!$D$23)/(2*M454))-2)-TANH(-2))/(1-TANH(-2))</f>
        <v>1.8799648494831303</v>
      </c>
      <c r="O454" s="83">
        <f>IF(N454=1,1+(I454-1)*H454*'Externe blootstelling'!$D$23/2,1+(I454-1)*(N454^(H454*'Externe blootstelling'!$D$23/2)-1)/(N454-1))</f>
        <v>7.3386386983436918</v>
      </c>
      <c r="P454" s="67">
        <f>G454*EXP(-H454*'Externe blootstelling'!$D$23/2)*O454</f>
        <v>6.7936129741926407E-2</v>
      </c>
      <c r="Q454" s="68"/>
    </row>
    <row r="455" spans="1:17" x14ac:dyDescent="0.2">
      <c r="A455" s="217"/>
      <c r="B455" s="77"/>
      <c r="C455" s="66">
        <v>0.24249999999999999</v>
      </c>
      <c r="D455" s="66">
        <f t="shared" si="33"/>
        <v>3.8799999999999996E-14</v>
      </c>
      <c r="E455" s="66">
        <v>3.6999999999999999E-4</v>
      </c>
      <c r="F455" s="66">
        <f>_xlfn.IFNA(INDEX('hp (pSv cm2)'!$B$2:$B$52,MATCH($C455,'hp (pSv cm2)'!$A$2:$A$52,1))+($C455-INDEX('hp (pSv cm2)'!$A$2:$A$52,MATCH($C455,'hp (pSv cm2)'!$A$2:$A$52,1)))*(INDEX('hp (pSv cm2)'!$B$2:$B$52,MATCH($C455,'hp (pSv cm2)'!$A$2:$A$52,1)+1)-INDEX('hp (pSv cm2)'!$B$2:$B$52,MATCH($C455,'hp (pSv cm2)'!$A$2:$A$52,1)))/(INDEX('hp (pSv cm2)'!$A$2:$A$52,MATCH($C455,'hp (pSv cm2)'!$A$2:$A$52,1)+1)-INDEX('hp (pSv cm2)'!$A$2:$A$52,MATCH($C455,'hp (pSv cm2)'!$A$2:$A$52,1))),$C455*'hp (pSv cm2)'!$B$2/'hp (pSv cm2)'!$A$2)</f>
        <v>1.21675</v>
      </c>
      <c r="G455" s="67">
        <f t="shared" si="34"/>
        <v>4.5019750000000001E-4</v>
      </c>
      <c r="H455" s="83">
        <f>_xlfn.IFNA(0.997*(INDEX('Mass attenuation coefficients'!$B$2:$B$37,MATCH($C455,'Mass attenuation coefficients'!$A$2:$A$37,1))+($C455-INDEX('Mass attenuation coefficients'!$A$2:$A$37,MATCH($C455,'Mass attenuation coefficients'!$A$2:$A$37,1)))*(INDEX('Mass attenuation coefficients'!$B$2:$B$37,MATCH($C455,'Mass attenuation coefficients'!$A$2:$A$37,1)+1)-INDEX('Mass attenuation coefficients'!$B$2:$B$37,MATCH($C455,'Mass attenuation coefficients'!$A$2:$A$37,1)))/(INDEX('Mass attenuation coefficients'!$A$2:$A$37,MATCH($C455,'Mass attenuation coefficients'!$A$2:$A$37,1)+1)-INDEX('Mass attenuation coefficients'!$A$2:$A$37,MATCH($C455,'Mass attenuation coefficients'!$A$2:$A$37,1)))),0.997*$C455*'Mass attenuation coefficients'!$B$2/'Mass attenuation coefficients'!$A$2)</f>
        <v>0.12879246000000003</v>
      </c>
      <c r="I455" s="83">
        <f>_xlfn.IFNA(INDEX('Shultis Faw'!$C$2:$C$26,MATCH($C455,'Shultis Faw'!$A$2:$A$26,1))+($C455-INDEX('Shultis Faw'!$A$2:$A$26,MATCH($C455,'Shultis Faw'!$A$2:$A$26,1)))*(INDEX('Shultis Faw'!$C$2:$C$26,MATCH($C455,'Shultis Faw'!$A$2:$A$26,1)+1)-INDEX('Shultis Faw'!$C$2:$C$26,MATCH($C455,'Shultis Faw'!$A$2:$A$26,1)))/(INDEX('Shultis Faw'!$A$2:$A$26,MATCH($C455,'Shultis Faw'!$A$2:$A$26,1)+1)-INDEX('Shultis Faw'!$A$2:$A$26,MATCH($C455,'Shultis Faw'!$A$2:$A$26,1))),$C455*'Shultis Faw'!$C$2/'Shultis Faw'!$A$2)</f>
        <v>3.24085</v>
      </c>
      <c r="J455" s="83">
        <f>_xlfn.IFNA(INDEX('Shultis Faw'!$D$2:$D$26,MATCH($C455,'Shultis Faw'!$A$2:$A$26,1))+($C455-INDEX('Shultis Faw'!$A$2:$A$26,MATCH($C455,'Shultis Faw'!$A$2:$A$26,1)))*(INDEX('Shultis Faw'!$D$2:$D$26,MATCH($C455,'Shultis Faw'!$A$2:$A$26,1)+1)-INDEX('Shultis Faw'!$D$2:$D$26,MATCH($C455,'Shultis Faw'!$A$2:$A$26,1)))/(INDEX('Shultis Faw'!$A$2:$A$26,MATCH($C455,'Shultis Faw'!$A$2:$A$26,1)+1)-INDEX('Shultis Faw'!$A$2:$A$26,MATCH($C455,'Shultis Faw'!$A$2:$A$26,1))),$C455*'Shultis Faw'!$D$2/'Shultis Faw'!$A$2)</f>
        <v>2.0978999999999997</v>
      </c>
      <c r="K455" s="83">
        <f>_xlfn.IFNA(INDEX('Shultis Faw'!$B$2:$B$26,MATCH($C455,'Shultis Faw'!$A$2:$A$26,1))+($C455-INDEX('Shultis Faw'!$A$2:$A$26,MATCH($C455,'Shultis Faw'!$A$2:$A$26,1)))*(INDEX('Shultis Faw'!$B$2:$B$26,MATCH($C455,'Shultis Faw'!$A$2:$A$26,1)+1)-INDEX('Shultis Faw'!$B$2:$B$26,MATCH($C455,'Shultis Faw'!$A$2:$A$26,1)))/(INDEX('Shultis Faw'!$A$2:$A$26,MATCH($C455,'Shultis Faw'!$A$2:$A$26,1)+1)-INDEX('Shultis Faw'!$A$2:$A$26,MATCH($C455,'Shultis Faw'!$A$2:$A$26,1))),$C455*'Shultis Faw'!$B$2/'Shultis Faw'!$A$2)</f>
        <v>-0.1709</v>
      </c>
      <c r="L455" s="83">
        <f>_xlfn.IFNA(INDEX('Shultis Faw'!$E$2:$E$26,MATCH($C455,'Shultis Faw'!$A$2:$A$26,1))+($C455-INDEX('Shultis Faw'!$A$2:$A$26,MATCH($C455,'Shultis Faw'!$A$2:$A$26,1)))*(INDEX('Shultis Faw'!$E$2:$E$26,MATCH($C455,'Shultis Faw'!$A$2:$A$26,1)+1)-INDEX('Shultis Faw'!$E$2:$E$26,MATCH($C455,'Shultis Faw'!$A$2:$A$26,1)))/(INDEX('Shultis Faw'!$A$2:$A$26,MATCH($C455,'Shultis Faw'!$A$2:$A$26,1)+1)-INDEX('Shultis Faw'!$A$2:$A$26,MATCH($C455,'Shultis Faw'!$A$2:$A$26,1))),$C455*'Shultis Faw'!$E$2/'Shultis Faw'!$A$2)</f>
        <v>7.2342500000000004E-2</v>
      </c>
      <c r="M455" s="83">
        <f>_xlfn.IFNA(INDEX('Shultis Faw'!$F$2:$F$26,MATCH($C455,'Shultis Faw'!$A$2:$A$26,1))+($C455-INDEX('Shultis Faw'!$A$2:$A$26,MATCH($C455,'Shultis Faw'!$A$2:$A$26,1)))*(INDEX('Shultis Faw'!$F$2:$F$26,MATCH($C455,'Shultis Faw'!$A$2:$A$26,1)+1)-INDEX('Shultis Faw'!$F$2:$F$26,MATCH($C455,'Shultis Faw'!$A$2:$A$26,1)))/(INDEX('Shultis Faw'!$A$2:$A$26,MATCH($C455,'Shultis Faw'!$A$2:$A$26,1)+1)-INDEX('Shultis Faw'!$A$2:$A$26,MATCH($C455,'Shultis Faw'!$A$2:$A$26,1))),$C455*'Shultis Faw'!$F$2/'Shultis Faw'!$A$2)</f>
        <v>14.376750000000001</v>
      </c>
      <c r="N455" s="83">
        <f>J455*(H455*'Externe blootstelling'!$D$23/2)^K455+L455*(TANH(((H455*'Externe blootstelling'!$D$23)/(2*M455))-2)-TANH(-2))/(1-TANH(-2))</f>
        <v>1.8750071696580921</v>
      </c>
      <c r="O455" s="83">
        <f>IF(N455=1,1+(I455-1)*H455*'Externe blootstelling'!$D$23/2,1+(I455-1)*(N455^(H455*'Externe blootstelling'!$D$23/2)-1)/(N455-1))</f>
        <v>7.0650994161295149</v>
      </c>
      <c r="P455" s="67">
        <f>G455*EXP(-H455*'Externe blootstelling'!$D$23/2)*O455</f>
        <v>4.6080113064998795E-4</v>
      </c>
      <c r="Q455" s="68"/>
    </row>
    <row r="456" spans="1:17" x14ac:dyDescent="0.2">
      <c r="A456" s="217"/>
      <c r="B456" s="77"/>
      <c r="C456" s="66">
        <v>0.24967410000000001</v>
      </c>
      <c r="D456" s="66">
        <f t="shared" si="33"/>
        <v>3.9947855999999997E-14</v>
      </c>
      <c r="E456" s="66">
        <v>6.1400000000000003E-2</v>
      </c>
      <c r="F456" s="66">
        <f>_xlfn.IFNA(INDEX('hp (pSv cm2)'!$B$2:$B$52,MATCH($C456,'hp (pSv cm2)'!$A$2:$A$52,1))+($C456-INDEX('hp (pSv cm2)'!$A$2:$A$52,MATCH($C456,'hp (pSv cm2)'!$A$2:$A$52,1)))*(INDEX('hp (pSv cm2)'!$B$2:$B$52,MATCH($C456,'hp (pSv cm2)'!$A$2:$A$52,1)+1)-INDEX('hp (pSv cm2)'!$B$2:$B$52,MATCH($C456,'hp (pSv cm2)'!$A$2:$A$52,1)))/(INDEX('hp (pSv cm2)'!$A$2:$A$52,MATCH($C456,'hp (pSv cm2)'!$A$2:$A$52,1)+1)-INDEX('hp (pSv cm2)'!$A$2:$A$52,MATCH($C456,'hp (pSv cm2)'!$A$2:$A$52,1))),$C456*'hp (pSv cm2)'!$B$2/'hp (pSv cm2)'!$A$2)</f>
        <v>1.2533379099999999</v>
      </c>
      <c r="G456" s="67">
        <f t="shared" si="34"/>
        <v>7.6954947674000004E-2</v>
      </c>
      <c r="H456" s="83">
        <f>_xlfn.IFNA(0.997*(INDEX('Mass attenuation coefficients'!$B$2:$B$37,MATCH($C456,'Mass attenuation coefficients'!$A$2:$A$37,1))+($C456-INDEX('Mass attenuation coefficients'!$A$2:$A$37,MATCH($C456,'Mass attenuation coefficients'!$A$2:$A$37,1)))*(INDEX('Mass attenuation coefficients'!$B$2:$B$37,MATCH($C456,'Mass attenuation coefficients'!$A$2:$A$37,1)+1)-INDEX('Mass attenuation coefficients'!$B$2:$B$37,MATCH($C456,'Mass attenuation coefficients'!$A$2:$A$37,1)))/(INDEX('Mass attenuation coefficients'!$A$2:$A$37,MATCH($C456,'Mass attenuation coefficients'!$A$2:$A$37,1)+1)-INDEX('Mass attenuation coefficients'!$A$2:$A$37,MATCH($C456,'Mass attenuation coefficients'!$A$2:$A$37,1)))),0.997*$C456*'Mass attenuation coefficients'!$B$2/'Mass attenuation coefficients'!$A$2)</f>
        <v>0.12747638570320002</v>
      </c>
      <c r="I456" s="83">
        <f>_xlfn.IFNA(INDEX('Shultis Faw'!$C$2:$C$26,MATCH($C456,'Shultis Faw'!$A$2:$A$26,1))+($C456-INDEX('Shultis Faw'!$A$2:$A$26,MATCH($C456,'Shultis Faw'!$A$2:$A$26,1)))*(INDEX('Shultis Faw'!$C$2:$C$26,MATCH($C456,'Shultis Faw'!$A$2:$A$26,1)+1)-INDEX('Shultis Faw'!$C$2:$C$26,MATCH($C456,'Shultis Faw'!$A$2:$A$26,1)))/(INDEX('Shultis Faw'!$A$2:$A$26,MATCH($C456,'Shultis Faw'!$A$2:$A$26,1)+1)-INDEX('Shultis Faw'!$A$2:$A$26,MATCH($C456,'Shultis Faw'!$A$2:$A$26,1))),$C456*'Shultis Faw'!$C$2/'Shultis Faw'!$A$2)</f>
        <v>3.2008185220000001</v>
      </c>
      <c r="J456" s="83">
        <f>_xlfn.IFNA(INDEX('Shultis Faw'!$D$2:$D$26,MATCH($C456,'Shultis Faw'!$A$2:$A$26,1))+($C456-INDEX('Shultis Faw'!$A$2:$A$26,MATCH($C456,'Shultis Faw'!$A$2:$A$26,1)))*(INDEX('Shultis Faw'!$D$2:$D$26,MATCH($C456,'Shultis Faw'!$A$2:$A$26,1)+1)-INDEX('Shultis Faw'!$D$2:$D$26,MATCH($C456,'Shultis Faw'!$A$2:$A$26,1)))/(INDEX('Shultis Faw'!$A$2:$A$26,MATCH($C456,'Shultis Faw'!$A$2:$A$26,1)+1)-INDEX('Shultis Faw'!$A$2:$A$26,MATCH($C456,'Shultis Faw'!$A$2:$A$26,1))),$C456*'Shultis Faw'!$D$2/'Shultis Faw'!$A$2)</f>
        <v>2.0884301879999998</v>
      </c>
      <c r="K456" s="83">
        <f>_xlfn.IFNA(INDEX('Shultis Faw'!$B$2:$B$26,MATCH($C456,'Shultis Faw'!$A$2:$A$26,1))+($C456-INDEX('Shultis Faw'!$A$2:$A$26,MATCH($C456,'Shultis Faw'!$A$2:$A$26,1)))*(INDEX('Shultis Faw'!$B$2:$B$26,MATCH($C456,'Shultis Faw'!$A$2:$A$26,1)+1)-INDEX('Shultis Faw'!$B$2:$B$26,MATCH($C456,'Shultis Faw'!$A$2:$A$26,1)))/(INDEX('Shultis Faw'!$A$2:$A$26,MATCH($C456,'Shultis Faw'!$A$2:$A$26,1)+1)-INDEX('Shultis Faw'!$A$2:$A$26,MATCH($C456,'Shultis Faw'!$A$2:$A$26,1))),$C456*'Shultis Faw'!$B$2/'Shultis Faw'!$A$2)</f>
        <v>-0.17003910799999999</v>
      </c>
      <c r="L456" s="83">
        <f>_xlfn.IFNA(INDEX('Shultis Faw'!$E$2:$E$26,MATCH($C456,'Shultis Faw'!$A$2:$A$26,1))+($C456-INDEX('Shultis Faw'!$A$2:$A$26,MATCH($C456,'Shultis Faw'!$A$2:$A$26,1)))*(INDEX('Shultis Faw'!$E$2:$E$26,MATCH($C456,'Shultis Faw'!$A$2:$A$26,1)+1)-INDEX('Shultis Faw'!$E$2:$E$26,MATCH($C456,'Shultis Faw'!$A$2:$A$26,1)))/(INDEX('Shultis Faw'!$A$2:$A$26,MATCH($C456,'Shultis Faw'!$A$2:$A$26,1)+1)-INDEX('Shultis Faw'!$A$2:$A$26,MATCH($C456,'Shultis Faw'!$A$2:$A$26,1))),$C456*'Shultis Faw'!$E$2/'Shultis Faw'!$A$2)</f>
        <v>7.1488782099999995E-2</v>
      </c>
      <c r="M456" s="83">
        <f>_xlfn.IFNA(INDEX('Shultis Faw'!$F$2:$F$26,MATCH($C456,'Shultis Faw'!$A$2:$A$26,1))+($C456-INDEX('Shultis Faw'!$A$2:$A$26,MATCH($C456,'Shultis Faw'!$A$2:$A$26,1)))*(INDEX('Shultis Faw'!$F$2:$F$26,MATCH($C456,'Shultis Faw'!$A$2:$A$26,1)+1)-INDEX('Shultis Faw'!$F$2:$F$26,MATCH($C456,'Shultis Faw'!$A$2:$A$26,1)))/(INDEX('Shultis Faw'!$A$2:$A$26,MATCH($C456,'Shultis Faw'!$A$2:$A$26,1)+1)-INDEX('Shultis Faw'!$A$2:$A$26,MATCH($C456,'Shultis Faw'!$A$2:$A$26,1))),$C456*'Shultis Faw'!$F$2/'Shultis Faw'!$A$2)</f>
        <v>14.35594511</v>
      </c>
      <c r="N456" s="83">
        <f>J456*(H456*'Externe blootstelling'!$D$23/2)^K456+L456*(TANH(((H456*'Externe blootstelling'!$D$23)/(2*M456))-2)-TANH(-2))/(1-TANH(-2))</f>
        <v>1.8708587743417051</v>
      </c>
      <c r="O456" s="83">
        <f>IF(N456=1,1+(I456-1)*H456*'Externe blootstelling'!$D$23/2,1+(I456-1)*(N456^(H456*'Externe blootstelling'!$D$23/2)-1)/(N456-1))</f>
        <v>6.8446126615830591</v>
      </c>
      <c r="P456" s="67">
        <f>G456*EXP(-H456*'Externe blootstelling'!$D$23/2)*O456</f>
        <v>7.7830722190812343E-2</v>
      </c>
      <c r="Q456" s="68"/>
    </row>
    <row r="457" spans="1:17" x14ac:dyDescent="0.2">
      <c r="A457" s="217"/>
      <c r="B457" s="77"/>
      <c r="C457" s="66">
        <v>0.26878500000000005</v>
      </c>
      <c r="D457" s="66">
        <f t="shared" si="33"/>
        <v>4.3005600000000008E-14</v>
      </c>
      <c r="E457" s="66">
        <v>3.4299999999999997E-2</v>
      </c>
      <c r="F457" s="66">
        <f>_xlfn.IFNA(INDEX('hp (pSv cm2)'!$B$2:$B$52,MATCH($C457,'hp (pSv cm2)'!$A$2:$A$52,1))+($C457-INDEX('hp (pSv cm2)'!$A$2:$A$52,MATCH($C457,'hp (pSv cm2)'!$A$2:$A$52,1)))*(INDEX('hp (pSv cm2)'!$B$2:$B$52,MATCH($C457,'hp (pSv cm2)'!$A$2:$A$52,1)+1)-INDEX('hp (pSv cm2)'!$B$2:$B$52,MATCH($C457,'hp (pSv cm2)'!$A$2:$A$52,1)))/(INDEX('hp (pSv cm2)'!$A$2:$A$52,MATCH($C457,'hp (pSv cm2)'!$A$2:$A$52,1)+1)-INDEX('hp (pSv cm2)'!$A$2:$A$52,MATCH($C457,'hp (pSv cm2)'!$A$2:$A$52,1))),$C457*'hp (pSv cm2)'!$B$2/'hp (pSv cm2)'!$A$2)</f>
        <v>1.3508035000000003</v>
      </c>
      <c r="G457" s="67">
        <f t="shared" si="34"/>
        <v>4.6332560050000006E-2</v>
      </c>
      <c r="H457" s="83">
        <f>_xlfn.IFNA(0.997*(INDEX('Mass attenuation coefficients'!$B$2:$B$37,MATCH($C457,'Mass attenuation coefficients'!$A$2:$A$37,1))+($C457-INDEX('Mass attenuation coefficients'!$A$2:$A$37,MATCH($C457,'Mass attenuation coefficients'!$A$2:$A$37,1)))*(INDEX('Mass attenuation coefficients'!$B$2:$B$37,MATCH($C457,'Mass attenuation coefficients'!$A$2:$A$37,1)+1)-INDEX('Mass attenuation coefficients'!$B$2:$B$37,MATCH($C457,'Mass attenuation coefficients'!$A$2:$A$37,1)))/(INDEX('Mass attenuation coefficients'!$A$2:$A$37,MATCH($C457,'Mass attenuation coefficients'!$A$2:$A$37,1)+1)-INDEX('Mass attenuation coefficients'!$A$2:$A$37,MATCH($C457,'Mass attenuation coefficients'!$A$2:$A$37,1)))),0.997*$C457*'Mass attenuation coefficients'!$B$2/'Mass attenuation coefficients'!$A$2)</f>
        <v>0.12397052931999999</v>
      </c>
      <c r="I457" s="83">
        <f>_xlfn.IFNA(INDEX('Shultis Faw'!$C$2:$C$26,MATCH($C457,'Shultis Faw'!$A$2:$A$26,1))+($C457-INDEX('Shultis Faw'!$A$2:$A$26,MATCH($C457,'Shultis Faw'!$A$2:$A$26,1)))*(INDEX('Shultis Faw'!$C$2:$C$26,MATCH($C457,'Shultis Faw'!$A$2:$A$26,1)+1)-INDEX('Shultis Faw'!$C$2:$C$26,MATCH($C457,'Shultis Faw'!$A$2:$A$26,1)))/(INDEX('Shultis Faw'!$A$2:$A$26,MATCH($C457,'Shultis Faw'!$A$2:$A$26,1)+1)-INDEX('Shultis Faw'!$A$2:$A$26,MATCH($C457,'Shultis Faw'!$A$2:$A$26,1))),$C457*'Shultis Faw'!$C$2/'Shultis Faw'!$A$2)</f>
        <v>3.0941796999999998</v>
      </c>
      <c r="J457" s="83">
        <f>_xlfn.IFNA(INDEX('Shultis Faw'!$D$2:$D$26,MATCH($C457,'Shultis Faw'!$A$2:$A$26,1))+($C457-INDEX('Shultis Faw'!$A$2:$A$26,MATCH($C457,'Shultis Faw'!$A$2:$A$26,1)))*(INDEX('Shultis Faw'!$D$2:$D$26,MATCH($C457,'Shultis Faw'!$A$2:$A$26,1)+1)-INDEX('Shultis Faw'!$D$2:$D$26,MATCH($C457,'Shultis Faw'!$A$2:$A$26,1)))/(INDEX('Shultis Faw'!$A$2:$A$26,MATCH($C457,'Shultis Faw'!$A$2:$A$26,1)+1)-INDEX('Shultis Faw'!$A$2:$A$26,MATCH($C457,'Shultis Faw'!$A$2:$A$26,1))),$C457*'Shultis Faw'!$D$2/'Shultis Faw'!$A$2)</f>
        <v>2.0632037999999997</v>
      </c>
      <c r="K457" s="83">
        <f>_xlfn.IFNA(INDEX('Shultis Faw'!$B$2:$B$26,MATCH($C457,'Shultis Faw'!$A$2:$A$26,1))+($C457-INDEX('Shultis Faw'!$A$2:$A$26,MATCH($C457,'Shultis Faw'!$A$2:$A$26,1)))*(INDEX('Shultis Faw'!$B$2:$B$26,MATCH($C457,'Shultis Faw'!$A$2:$A$26,1)+1)-INDEX('Shultis Faw'!$B$2:$B$26,MATCH($C457,'Shultis Faw'!$A$2:$A$26,1)))/(INDEX('Shultis Faw'!$A$2:$A$26,MATCH($C457,'Shultis Faw'!$A$2:$A$26,1)+1)-INDEX('Shultis Faw'!$A$2:$A$26,MATCH($C457,'Shultis Faw'!$A$2:$A$26,1))),$C457*'Shultis Faw'!$B$2/'Shultis Faw'!$A$2)</f>
        <v>-0.1677458</v>
      </c>
      <c r="L457" s="83">
        <f>_xlfn.IFNA(INDEX('Shultis Faw'!$E$2:$E$26,MATCH($C457,'Shultis Faw'!$A$2:$A$26,1))+($C457-INDEX('Shultis Faw'!$A$2:$A$26,MATCH($C457,'Shultis Faw'!$A$2:$A$26,1)))*(INDEX('Shultis Faw'!$E$2:$E$26,MATCH($C457,'Shultis Faw'!$A$2:$A$26,1)+1)-INDEX('Shultis Faw'!$E$2:$E$26,MATCH($C457,'Shultis Faw'!$A$2:$A$26,1)))/(INDEX('Shultis Faw'!$A$2:$A$26,MATCH($C457,'Shultis Faw'!$A$2:$A$26,1)+1)-INDEX('Shultis Faw'!$A$2:$A$26,MATCH($C457,'Shultis Faw'!$A$2:$A$26,1))),$C457*'Shultis Faw'!$E$2/'Shultis Faw'!$A$2)</f>
        <v>6.9214584999999995E-2</v>
      </c>
      <c r="M457" s="83">
        <f>_xlfn.IFNA(INDEX('Shultis Faw'!$F$2:$F$26,MATCH($C457,'Shultis Faw'!$A$2:$A$26,1))+($C457-INDEX('Shultis Faw'!$A$2:$A$26,MATCH($C457,'Shultis Faw'!$A$2:$A$26,1)))*(INDEX('Shultis Faw'!$F$2:$F$26,MATCH($C457,'Shultis Faw'!$A$2:$A$26,1)+1)-INDEX('Shultis Faw'!$F$2:$F$26,MATCH($C457,'Shultis Faw'!$A$2:$A$26,1)))/(INDEX('Shultis Faw'!$A$2:$A$26,MATCH($C457,'Shultis Faw'!$A$2:$A$26,1)+1)-INDEX('Shultis Faw'!$A$2:$A$26,MATCH($C457,'Shultis Faw'!$A$2:$A$26,1))),$C457*'Shultis Faw'!$F$2/'Shultis Faw'!$A$2)</f>
        <v>14.300523500000001</v>
      </c>
      <c r="N457" s="83">
        <f>J457*(H457*'Externe blootstelling'!$D$23/2)^K457+L457*(TANH(((H457*'Externe blootstelling'!$D$23)/(2*M457))-2)-TANH(-2))/(1-TANH(-2))</f>
        <v>1.8596691305163506</v>
      </c>
      <c r="O457" s="83">
        <f>IF(N457=1,1+(I457-1)*H457*'Externe blootstelling'!$D$23/2,1+(I457-1)*(N457^(H457*'Externe blootstelling'!$D$23/2)-1)/(N457-1))</f>
        <v>6.2856870082117133</v>
      </c>
      <c r="P457" s="67">
        <f>G457*EXP(-H457*'Externe blootstelling'!$D$23/2)*O457</f>
        <v>4.5356892982082724E-2</v>
      </c>
      <c r="Q457" s="68"/>
    </row>
    <row r="458" spans="1:17" x14ac:dyDescent="0.2">
      <c r="A458" s="217"/>
      <c r="B458" s="77"/>
      <c r="C458" s="66">
        <v>0.28178730000000002</v>
      </c>
      <c r="D458" s="66">
        <f t="shared" si="33"/>
        <v>4.5085968000000007E-14</v>
      </c>
      <c r="E458" s="66">
        <v>0.14099999999999999</v>
      </c>
      <c r="F458" s="66">
        <f>_xlfn.IFNA(INDEX('hp (pSv cm2)'!$B$2:$B$52,MATCH($C458,'hp (pSv cm2)'!$A$2:$A$52,1))+($C458-INDEX('hp (pSv cm2)'!$A$2:$A$52,MATCH($C458,'hp (pSv cm2)'!$A$2:$A$52,1)))*(INDEX('hp (pSv cm2)'!$B$2:$B$52,MATCH($C458,'hp (pSv cm2)'!$A$2:$A$52,1)+1)-INDEX('hp (pSv cm2)'!$B$2:$B$52,MATCH($C458,'hp (pSv cm2)'!$A$2:$A$52,1)))/(INDEX('hp (pSv cm2)'!$A$2:$A$52,MATCH($C458,'hp (pSv cm2)'!$A$2:$A$52,1)+1)-INDEX('hp (pSv cm2)'!$A$2:$A$52,MATCH($C458,'hp (pSv cm2)'!$A$2:$A$52,1))),$C458*'hp (pSv cm2)'!$B$2/'hp (pSv cm2)'!$A$2)</f>
        <v>1.4171152300000003</v>
      </c>
      <c r="G458" s="67">
        <f t="shared" si="34"/>
        <v>0.19981324743000001</v>
      </c>
      <c r="H458" s="83">
        <f>_xlfn.IFNA(0.997*(INDEX('Mass attenuation coefficients'!$B$2:$B$37,MATCH($C458,'Mass attenuation coefficients'!$A$2:$A$37,1))+($C458-INDEX('Mass attenuation coefficients'!$A$2:$A$37,MATCH($C458,'Mass attenuation coefficients'!$A$2:$A$37,1)))*(INDEX('Mass attenuation coefficients'!$B$2:$B$37,MATCH($C458,'Mass attenuation coefficients'!$A$2:$A$37,1)+1)-INDEX('Mass attenuation coefficients'!$B$2:$B$37,MATCH($C458,'Mass attenuation coefficients'!$A$2:$A$37,1)))/(INDEX('Mass attenuation coefficients'!$A$2:$A$37,MATCH($C458,'Mass attenuation coefficients'!$A$2:$A$37,1)+1)-INDEX('Mass attenuation coefficients'!$A$2:$A$37,MATCH($C458,'Mass attenuation coefficients'!$A$2:$A$37,1)))),0.997*$C458*'Mass attenuation coefficients'!$B$2/'Mass attenuation coefficients'!$A$2)</f>
        <v>0.12158528338959999</v>
      </c>
      <c r="I458" s="83">
        <f>_xlfn.IFNA(INDEX('Shultis Faw'!$C$2:$C$26,MATCH($C458,'Shultis Faw'!$A$2:$A$26,1))+($C458-INDEX('Shultis Faw'!$A$2:$A$26,MATCH($C458,'Shultis Faw'!$A$2:$A$26,1)))*(INDEX('Shultis Faw'!$C$2:$C$26,MATCH($C458,'Shultis Faw'!$A$2:$A$26,1)+1)-INDEX('Shultis Faw'!$C$2:$C$26,MATCH($C458,'Shultis Faw'!$A$2:$A$26,1)))/(INDEX('Shultis Faw'!$A$2:$A$26,MATCH($C458,'Shultis Faw'!$A$2:$A$26,1)+1)-INDEX('Shultis Faw'!$A$2:$A$26,MATCH($C458,'Shultis Faw'!$A$2:$A$26,1))),$C458*'Shultis Faw'!$C$2/'Shultis Faw'!$A$2)</f>
        <v>3.0216268660000001</v>
      </c>
      <c r="J458" s="83">
        <f>_xlfn.IFNA(INDEX('Shultis Faw'!$D$2:$D$26,MATCH($C458,'Shultis Faw'!$A$2:$A$26,1))+($C458-INDEX('Shultis Faw'!$A$2:$A$26,MATCH($C458,'Shultis Faw'!$A$2:$A$26,1)))*(INDEX('Shultis Faw'!$D$2:$D$26,MATCH($C458,'Shultis Faw'!$A$2:$A$26,1)+1)-INDEX('Shultis Faw'!$D$2:$D$26,MATCH($C458,'Shultis Faw'!$A$2:$A$26,1)))/(INDEX('Shultis Faw'!$A$2:$A$26,MATCH($C458,'Shultis Faw'!$A$2:$A$26,1)+1)-INDEX('Shultis Faw'!$A$2:$A$26,MATCH($C458,'Shultis Faw'!$A$2:$A$26,1))),$C458*'Shultis Faw'!$D$2/'Shultis Faw'!$A$2)</f>
        <v>2.0460407639999998</v>
      </c>
      <c r="K458" s="83">
        <f>_xlfn.IFNA(INDEX('Shultis Faw'!$B$2:$B$26,MATCH($C458,'Shultis Faw'!$A$2:$A$26,1))+($C458-INDEX('Shultis Faw'!$A$2:$A$26,MATCH($C458,'Shultis Faw'!$A$2:$A$26,1)))*(INDEX('Shultis Faw'!$B$2:$B$26,MATCH($C458,'Shultis Faw'!$A$2:$A$26,1)+1)-INDEX('Shultis Faw'!$B$2:$B$26,MATCH($C458,'Shultis Faw'!$A$2:$A$26,1)))/(INDEX('Shultis Faw'!$A$2:$A$26,MATCH($C458,'Shultis Faw'!$A$2:$A$26,1)+1)-INDEX('Shultis Faw'!$A$2:$A$26,MATCH($C458,'Shultis Faw'!$A$2:$A$26,1))),$C458*'Shultis Faw'!$B$2/'Shultis Faw'!$A$2)</f>
        <v>-0.166185524</v>
      </c>
      <c r="L458" s="83">
        <f>_xlfn.IFNA(INDEX('Shultis Faw'!$E$2:$E$26,MATCH($C458,'Shultis Faw'!$A$2:$A$26,1))+($C458-INDEX('Shultis Faw'!$A$2:$A$26,MATCH($C458,'Shultis Faw'!$A$2:$A$26,1)))*(INDEX('Shultis Faw'!$E$2:$E$26,MATCH($C458,'Shultis Faw'!$A$2:$A$26,1)+1)-INDEX('Shultis Faw'!$E$2:$E$26,MATCH($C458,'Shultis Faw'!$A$2:$A$26,1)))/(INDEX('Shultis Faw'!$A$2:$A$26,MATCH($C458,'Shultis Faw'!$A$2:$A$26,1)+1)-INDEX('Shultis Faw'!$A$2:$A$26,MATCH($C458,'Shultis Faw'!$A$2:$A$26,1))),$C458*'Shultis Faw'!$E$2/'Shultis Faw'!$A$2)</f>
        <v>6.7667311300000005E-2</v>
      </c>
      <c r="M458" s="83">
        <f>_xlfn.IFNA(INDEX('Shultis Faw'!$F$2:$F$26,MATCH($C458,'Shultis Faw'!$A$2:$A$26,1))+($C458-INDEX('Shultis Faw'!$A$2:$A$26,MATCH($C458,'Shultis Faw'!$A$2:$A$26,1)))*(INDEX('Shultis Faw'!$F$2:$F$26,MATCH($C458,'Shultis Faw'!$A$2:$A$26,1)+1)-INDEX('Shultis Faw'!$F$2:$F$26,MATCH($C458,'Shultis Faw'!$A$2:$A$26,1)))/(INDEX('Shultis Faw'!$A$2:$A$26,MATCH($C458,'Shultis Faw'!$A$2:$A$26,1)+1)-INDEX('Shultis Faw'!$A$2:$A$26,MATCH($C458,'Shultis Faw'!$A$2:$A$26,1))),$C458*'Shultis Faw'!$F$2/'Shultis Faw'!$A$2)</f>
        <v>14.26281683</v>
      </c>
      <c r="N458" s="83">
        <f>J458*(H458*'Externe blootstelling'!$D$23/2)^K458+L458*(TANH(((H458*'Externe blootstelling'!$D$23)/(2*M458))-2)-TANH(-2))/(1-TANH(-2))</f>
        <v>1.8519412998739286</v>
      </c>
      <c r="O458" s="83">
        <f>IF(N458=1,1+(I458-1)*H458*'Externe blootstelling'!$D$23/2,1+(I458-1)*(N458^(H458*'Externe blootstelling'!$D$23/2)-1)/(N458-1))</f>
        <v>5.9280677215823232</v>
      </c>
      <c r="P458" s="67">
        <f>G458*EXP(-H458*'Externe blootstelling'!$D$23/2)*O458</f>
        <v>0.19119660201533822</v>
      </c>
      <c r="Q458" s="68"/>
    </row>
    <row r="459" spans="1:17" x14ac:dyDescent="0.2">
      <c r="A459" s="217"/>
      <c r="B459" s="77"/>
      <c r="C459" s="66">
        <v>0.28342000000000001</v>
      </c>
      <c r="D459" s="66">
        <f t="shared" si="33"/>
        <v>4.5347199999999997E-14</v>
      </c>
      <c r="E459" s="66">
        <v>4.0000000000000001E-3</v>
      </c>
      <c r="F459" s="66">
        <f>_xlfn.IFNA(INDEX('hp (pSv cm2)'!$B$2:$B$52,MATCH($C459,'hp (pSv cm2)'!$A$2:$A$52,1))+($C459-INDEX('hp (pSv cm2)'!$A$2:$A$52,MATCH($C459,'hp (pSv cm2)'!$A$2:$A$52,1)))*(INDEX('hp (pSv cm2)'!$B$2:$B$52,MATCH($C459,'hp (pSv cm2)'!$A$2:$A$52,1)+1)-INDEX('hp (pSv cm2)'!$B$2:$B$52,MATCH($C459,'hp (pSv cm2)'!$A$2:$A$52,1)))/(INDEX('hp (pSv cm2)'!$A$2:$A$52,MATCH($C459,'hp (pSv cm2)'!$A$2:$A$52,1)+1)-INDEX('hp (pSv cm2)'!$A$2:$A$52,MATCH($C459,'hp (pSv cm2)'!$A$2:$A$52,1))),$C459*'hp (pSv cm2)'!$B$2/'hp (pSv cm2)'!$A$2)</f>
        <v>1.4254420000000001</v>
      </c>
      <c r="G459" s="67">
        <f t="shared" si="34"/>
        <v>5.7017680000000003E-3</v>
      </c>
      <c r="H459" s="83">
        <f>_xlfn.IFNA(0.997*(INDEX('Mass attenuation coefficients'!$B$2:$B$37,MATCH($C459,'Mass attenuation coefficients'!$A$2:$A$37,1))+($C459-INDEX('Mass attenuation coefficients'!$A$2:$A$37,MATCH($C459,'Mass attenuation coefficients'!$A$2:$A$37,1)))*(INDEX('Mass attenuation coefficients'!$B$2:$B$37,MATCH($C459,'Mass attenuation coefficients'!$A$2:$A$37,1)+1)-INDEX('Mass attenuation coefficients'!$B$2:$B$37,MATCH($C459,'Mass attenuation coefficients'!$A$2:$A$37,1)))/(INDEX('Mass attenuation coefficients'!$A$2:$A$37,MATCH($C459,'Mass attenuation coefficients'!$A$2:$A$37,1)+1)-INDEX('Mass attenuation coefficients'!$A$2:$A$37,MATCH($C459,'Mass attenuation coefficients'!$A$2:$A$37,1)))),0.997*$C459*'Mass attenuation coefficients'!$B$2/'Mass attenuation coefficients'!$A$2)</f>
        <v>0.12128576784</v>
      </c>
      <c r="I459" s="83">
        <f>_xlfn.IFNA(INDEX('Shultis Faw'!$C$2:$C$26,MATCH($C459,'Shultis Faw'!$A$2:$A$26,1))+($C459-INDEX('Shultis Faw'!$A$2:$A$26,MATCH($C459,'Shultis Faw'!$A$2:$A$26,1)))*(INDEX('Shultis Faw'!$C$2:$C$26,MATCH($C459,'Shultis Faw'!$A$2:$A$26,1)+1)-INDEX('Shultis Faw'!$C$2:$C$26,MATCH($C459,'Shultis Faw'!$A$2:$A$26,1)))/(INDEX('Shultis Faw'!$A$2:$A$26,MATCH($C459,'Shultis Faw'!$A$2:$A$26,1)+1)-INDEX('Shultis Faw'!$A$2:$A$26,MATCH($C459,'Shultis Faw'!$A$2:$A$26,1))),$C459*'Shultis Faw'!$C$2/'Shultis Faw'!$A$2)</f>
        <v>3.0125164</v>
      </c>
      <c r="J459" s="83">
        <f>_xlfn.IFNA(INDEX('Shultis Faw'!$D$2:$D$26,MATCH($C459,'Shultis Faw'!$A$2:$A$26,1))+($C459-INDEX('Shultis Faw'!$A$2:$A$26,MATCH($C459,'Shultis Faw'!$A$2:$A$26,1)))*(INDEX('Shultis Faw'!$D$2:$D$26,MATCH($C459,'Shultis Faw'!$A$2:$A$26,1)+1)-INDEX('Shultis Faw'!$D$2:$D$26,MATCH($C459,'Shultis Faw'!$A$2:$A$26,1)))/(INDEX('Shultis Faw'!$A$2:$A$26,MATCH($C459,'Shultis Faw'!$A$2:$A$26,1)+1)-INDEX('Shultis Faw'!$A$2:$A$26,MATCH($C459,'Shultis Faw'!$A$2:$A$26,1))),$C459*'Shultis Faw'!$D$2/'Shultis Faw'!$A$2)</f>
        <v>2.0438855999999999</v>
      </c>
      <c r="K459" s="83">
        <f>_xlfn.IFNA(INDEX('Shultis Faw'!$B$2:$B$26,MATCH($C459,'Shultis Faw'!$A$2:$A$26,1))+($C459-INDEX('Shultis Faw'!$A$2:$A$26,MATCH($C459,'Shultis Faw'!$A$2:$A$26,1)))*(INDEX('Shultis Faw'!$B$2:$B$26,MATCH($C459,'Shultis Faw'!$A$2:$A$26,1)+1)-INDEX('Shultis Faw'!$B$2:$B$26,MATCH($C459,'Shultis Faw'!$A$2:$A$26,1)))/(INDEX('Shultis Faw'!$A$2:$A$26,MATCH($C459,'Shultis Faw'!$A$2:$A$26,1)+1)-INDEX('Shultis Faw'!$A$2:$A$26,MATCH($C459,'Shultis Faw'!$A$2:$A$26,1))),$C459*'Shultis Faw'!$B$2/'Shultis Faw'!$A$2)</f>
        <v>-0.16598960000000001</v>
      </c>
      <c r="L459" s="83">
        <f>_xlfn.IFNA(INDEX('Shultis Faw'!$E$2:$E$26,MATCH($C459,'Shultis Faw'!$A$2:$A$26,1))+($C459-INDEX('Shultis Faw'!$A$2:$A$26,MATCH($C459,'Shultis Faw'!$A$2:$A$26,1)))*(INDEX('Shultis Faw'!$E$2:$E$26,MATCH($C459,'Shultis Faw'!$A$2:$A$26,1)+1)-INDEX('Shultis Faw'!$E$2:$E$26,MATCH($C459,'Shultis Faw'!$A$2:$A$26,1)))/(INDEX('Shultis Faw'!$A$2:$A$26,MATCH($C459,'Shultis Faw'!$A$2:$A$26,1)+1)-INDEX('Shultis Faw'!$A$2:$A$26,MATCH($C459,'Shultis Faw'!$A$2:$A$26,1))),$C459*'Shultis Faw'!$E$2/'Shultis Faw'!$A$2)</f>
        <v>6.7473019999999995E-2</v>
      </c>
      <c r="M459" s="83">
        <f>_xlfn.IFNA(INDEX('Shultis Faw'!$F$2:$F$26,MATCH($C459,'Shultis Faw'!$A$2:$A$26,1))+($C459-INDEX('Shultis Faw'!$A$2:$A$26,MATCH($C459,'Shultis Faw'!$A$2:$A$26,1)))*(INDEX('Shultis Faw'!$F$2:$F$26,MATCH($C459,'Shultis Faw'!$A$2:$A$26,1)+1)-INDEX('Shultis Faw'!$F$2:$F$26,MATCH($C459,'Shultis Faw'!$A$2:$A$26,1)))/(INDEX('Shultis Faw'!$A$2:$A$26,MATCH($C459,'Shultis Faw'!$A$2:$A$26,1)+1)-INDEX('Shultis Faw'!$A$2:$A$26,MATCH($C459,'Shultis Faw'!$A$2:$A$26,1))),$C459*'Shultis Faw'!$F$2/'Shultis Faw'!$A$2)</f>
        <v>14.258082</v>
      </c>
      <c r="N459" s="83">
        <f>J459*(H459*'Externe blootstelling'!$D$23/2)^K459+L459*(TANH(((H459*'Externe blootstelling'!$D$23)/(2*M459))-2)-TANH(-2))/(1-TANH(-2))</f>
        <v>1.8509643745824391</v>
      </c>
      <c r="O459" s="83">
        <f>IF(N459=1,1+(I459-1)*H459*'Externe blootstelling'!$D$23/2,1+(I459-1)*(N459^(H459*'Externe blootstelling'!$D$23/2)-1)/(N459-1))</f>
        <v>5.8844113697567897</v>
      </c>
      <c r="P459" s="67">
        <f>G459*EXP(-H459*'Externe blootstelling'!$D$23/2)*O459</f>
        <v>5.4400948597123884E-3</v>
      </c>
      <c r="Q459" s="68"/>
    </row>
    <row r="460" spans="1:17" x14ac:dyDescent="0.2">
      <c r="A460" s="217"/>
      <c r="B460" s="77"/>
      <c r="C460" s="66">
        <v>0.29142000000000001</v>
      </c>
      <c r="D460" s="66">
        <f t="shared" si="33"/>
        <v>4.6627199999999998E-14</v>
      </c>
      <c r="E460" s="66">
        <v>1.0200000000000001E-2</v>
      </c>
      <c r="F460" s="66">
        <f>_xlfn.IFNA(INDEX('hp (pSv cm2)'!$B$2:$B$52,MATCH($C460,'hp (pSv cm2)'!$A$2:$A$52,1))+($C460-INDEX('hp (pSv cm2)'!$A$2:$A$52,MATCH($C460,'hp (pSv cm2)'!$A$2:$A$52,1)))*(INDEX('hp (pSv cm2)'!$B$2:$B$52,MATCH($C460,'hp (pSv cm2)'!$A$2:$A$52,1)+1)-INDEX('hp (pSv cm2)'!$B$2:$B$52,MATCH($C460,'hp (pSv cm2)'!$A$2:$A$52,1)))/(INDEX('hp (pSv cm2)'!$A$2:$A$52,MATCH($C460,'hp (pSv cm2)'!$A$2:$A$52,1)+1)-INDEX('hp (pSv cm2)'!$A$2:$A$52,MATCH($C460,'hp (pSv cm2)'!$A$2:$A$52,1))),$C460*'hp (pSv cm2)'!$B$2/'hp (pSv cm2)'!$A$2)</f>
        <v>1.4662420000000003</v>
      </c>
      <c r="G460" s="67">
        <f t="shared" si="34"/>
        <v>1.4955668400000004E-2</v>
      </c>
      <c r="H460" s="83">
        <f>_xlfn.IFNA(0.997*(INDEX('Mass attenuation coefficients'!$B$2:$B$37,MATCH($C460,'Mass attenuation coefficients'!$A$2:$A$37,1))+($C460-INDEX('Mass attenuation coefficients'!$A$2:$A$37,MATCH($C460,'Mass attenuation coefficients'!$A$2:$A$37,1)))*(INDEX('Mass attenuation coefficients'!$B$2:$B$37,MATCH($C460,'Mass attenuation coefficients'!$A$2:$A$37,1)+1)-INDEX('Mass attenuation coefficients'!$B$2:$B$37,MATCH($C460,'Mass attenuation coefficients'!$A$2:$A$37,1)))/(INDEX('Mass attenuation coefficients'!$A$2:$A$37,MATCH($C460,'Mass attenuation coefficients'!$A$2:$A$37,1)+1)-INDEX('Mass attenuation coefficients'!$A$2:$A$37,MATCH($C460,'Mass attenuation coefficients'!$A$2:$A$37,1)))),0.997*$C460*'Mass attenuation coefficients'!$B$2/'Mass attenuation coefficients'!$A$2)</f>
        <v>0.11981818383999999</v>
      </c>
      <c r="I460" s="83">
        <f>_xlfn.IFNA(INDEX('Shultis Faw'!$C$2:$C$26,MATCH($C460,'Shultis Faw'!$A$2:$A$26,1))+($C460-INDEX('Shultis Faw'!$A$2:$A$26,MATCH($C460,'Shultis Faw'!$A$2:$A$26,1)))*(INDEX('Shultis Faw'!$C$2:$C$26,MATCH($C460,'Shultis Faw'!$A$2:$A$26,1)+1)-INDEX('Shultis Faw'!$C$2:$C$26,MATCH($C460,'Shultis Faw'!$A$2:$A$26,1)))/(INDEX('Shultis Faw'!$A$2:$A$26,MATCH($C460,'Shultis Faw'!$A$2:$A$26,1)+1)-INDEX('Shultis Faw'!$A$2:$A$26,MATCH($C460,'Shultis Faw'!$A$2:$A$26,1))),$C460*'Shultis Faw'!$C$2/'Shultis Faw'!$A$2)</f>
        <v>2.9678763999999997</v>
      </c>
      <c r="J460" s="83">
        <f>_xlfn.IFNA(INDEX('Shultis Faw'!$D$2:$D$26,MATCH($C460,'Shultis Faw'!$A$2:$A$26,1))+($C460-INDEX('Shultis Faw'!$A$2:$A$26,MATCH($C460,'Shultis Faw'!$A$2:$A$26,1)))*(INDEX('Shultis Faw'!$D$2:$D$26,MATCH($C460,'Shultis Faw'!$A$2:$A$26,1)+1)-INDEX('Shultis Faw'!$D$2:$D$26,MATCH($C460,'Shultis Faw'!$A$2:$A$26,1)))/(INDEX('Shultis Faw'!$A$2:$A$26,MATCH($C460,'Shultis Faw'!$A$2:$A$26,1)+1)-INDEX('Shultis Faw'!$A$2:$A$26,MATCH($C460,'Shultis Faw'!$A$2:$A$26,1))),$C460*'Shultis Faw'!$D$2/'Shultis Faw'!$A$2)</f>
        <v>2.0333256</v>
      </c>
      <c r="K460" s="83">
        <f>_xlfn.IFNA(INDEX('Shultis Faw'!$B$2:$B$26,MATCH($C460,'Shultis Faw'!$A$2:$A$26,1))+($C460-INDEX('Shultis Faw'!$A$2:$A$26,MATCH($C460,'Shultis Faw'!$A$2:$A$26,1)))*(INDEX('Shultis Faw'!$B$2:$B$26,MATCH($C460,'Shultis Faw'!$A$2:$A$26,1)+1)-INDEX('Shultis Faw'!$B$2:$B$26,MATCH($C460,'Shultis Faw'!$A$2:$A$26,1)))/(INDEX('Shultis Faw'!$A$2:$A$26,MATCH($C460,'Shultis Faw'!$A$2:$A$26,1)+1)-INDEX('Shultis Faw'!$A$2:$A$26,MATCH($C460,'Shultis Faw'!$A$2:$A$26,1))),$C460*'Shultis Faw'!$B$2/'Shultis Faw'!$A$2)</f>
        <v>-0.1650296</v>
      </c>
      <c r="L460" s="83">
        <f>_xlfn.IFNA(INDEX('Shultis Faw'!$E$2:$E$26,MATCH($C460,'Shultis Faw'!$A$2:$A$26,1))+($C460-INDEX('Shultis Faw'!$A$2:$A$26,MATCH($C460,'Shultis Faw'!$A$2:$A$26,1)))*(INDEX('Shultis Faw'!$E$2:$E$26,MATCH($C460,'Shultis Faw'!$A$2:$A$26,1)+1)-INDEX('Shultis Faw'!$E$2:$E$26,MATCH($C460,'Shultis Faw'!$A$2:$A$26,1)))/(INDEX('Shultis Faw'!$A$2:$A$26,MATCH($C460,'Shultis Faw'!$A$2:$A$26,1)+1)-INDEX('Shultis Faw'!$A$2:$A$26,MATCH($C460,'Shultis Faw'!$A$2:$A$26,1))),$C460*'Shultis Faw'!$E$2/'Shultis Faw'!$A$2)</f>
        <v>6.652102E-2</v>
      </c>
      <c r="M460" s="83">
        <f>_xlfn.IFNA(INDEX('Shultis Faw'!$F$2:$F$26,MATCH($C460,'Shultis Faw'!$A$2:$A$26,1))+($C460-INDEX('Shultis Faw'!$A$2:$A$26,MATCH($C460,'Shultis Faw'!$A$2:$A$26,1)))*(INDEX('Shultis Faw'!$F$2:$F$26,MATCH($C460,'Shultis Faw'!$A$2:$A$26,1)+1)-INDEX('Shultis Faw'!$F$2:$F$26,MATCH($C460,'Shultis Faw'!$A$2:$A$26,1)))/(INDEX('Shultis Faw'!$A$2:$A$26,MATCH($C460,'Shultis Faw'!$A$2:$A$26,1)+1)-INDEX('Shultis Faw'!$A$2:$A$26,MATCH($C460,'Shultis Faw'!$A$2:$A$26,1))),$C460*'Shultis Faw'!$F$2/'Shultis Faw'!$A$2)</f>
        <v>14.234882000000001</v>
      </c>
      <c r="N460" s="83">
        <f>J460*(H460*'Externe blootstelling'!$D$23/2)^K460+L460*(TANH(((H460*'Externe blootstelling'!$D$23)/(2*M460))-2)-TANH(-2))/(1-TANH(-2))</f>
        <v>1.8461565577059469</v>
      </c>
      <c r="O460" s="83">
        <f>IF(N460=1,1+(I460-1)*H460*'Externe blootstelling'!$D$23/2,1+(I460-1)*(N460^(H460*'Externe blootstelling'!$D$23/2)-1)/(N460-1))</f>
        <v>5.674435649241226</v>
      </c>
      <c r="P460" s="67">
        <f>G460*EXP(-H460*'Externe blootstelling'!$D$23/2)*O460</f>
        <v>1.4066396709476525E-2</v>
      </c>
      <c r="Q460" s="68"/>
    </row>
    <row r="461" spans="1:17" x14ac:dyDescent="0.2">
      <c r="A461" s="217"/>
      <c r="B461" s="77"/>
      <c r="C461" s="66">
        <v>0.29250999999999999</v>
      </c>
      <c r="D461" s="66">
        <f t="shared" si="33"/>
        <v>4.6801599999999996E-14</v>
      </c>
      <c r="E461" s="66">
        <v>8.2000000000000007E-3</v>
      </c>
      <c r="F461" s="66">
        <f>_xlfn.IFNA(INDEX('hp (pSv cm2)'!$B$2:$B$52,MATCH($C461,'hp (pSv cm2)'!$A$2:$A$52,1))+($C461-INDEX('hp (pSv cm2)'!$A$2:$A$52,MATCH($C461,'hp (pSv cm2)'!$A$2:$A$52,1)))*(INDEX('hp (pSv cm2)'!$B$2:$B$52,MATCH($C461,'hp (pSv cm2)'!$A$2:$A$52,1)+1)-INDEX('hp (pSv cm2)'!$B$2:$B$52,MATCH($C461,'hp (pSv cm2)'!$A$2:$A$52,1)))/(INDEX('hp (pSv cm2)'!$A$2:$A$52,MATCH($C461,'hp (pSv cm2)'!$A$2:$A$52,1)+1)-INDEX('hp (pSv cm2)'!$A$2:$A$52,MATCH($C461,'hp (pSv cm2)'!$A$2:$A$52,1))),$C461*'hp (pSv cm2)'!$B$2/'hp (pSv cm2)'!$A$2)</f>
        <v>1.4718009999999999</v>
      </c>
      <c r="G461" s="67">
        <f t="shared" si="34"/>
        <v>1.20687682E-2</v>
      </c>
      <c r="H461" s="83">
        <f>_xlfn.IFNA(0.997*(INDEX('Mass attenuation coefficients'!$B$2:$B$37,MATCH($C461,'Mass attenuation coefficients'!$A$2:$A$37,1))+($C461-INDEX('Mass attenuation coefficients'!$A$2:$A$37,MATCH($C461,'Mass attenuation coefficients'!$A$2:$A$37,1)))*(INDEX('Mass attenuation coefficients'!$B$2:$B$37,MATCH($C461,'Mass attenuation coefficients'!$A$2:$A$37,1)+1)-INDEX('Mass attenuation coefficients'!$B$2:$B$37,MATCH($C461,'Mass attenuation coefficients'!$A$2:$A$37,1)))/(INDEX('Mass attenuation coefficients'!$A$2:$A$37,MATCH($C461,'Mass attenuation coefficients'!$A$2:$A$37,1)+1)-INDEX('Mass attenuation coefficients'!$A$2:$A$37,MATCH($C461,'Mass attenuation coefficients'!$A$2:$A$37,1)))),0.997*$C461*'Mass attenuation coefficients'!$B$2/'Mass attenuation coefficients'!$A$2)</f>
        <v>0.11961822552</v>
      </c>
      <c r="I461" s="83">
        <f>_xlfn.IFNA(INDEX('Shultis Faw'!$C$2:$C$26,MATCH($C461,'Shultis Faw'!$A$2:$A$26,1))+($C461-INDEX('Shultis Faw'!$A$2:$A$26,MATCH($C461,'Shultis Faw'!$A$2:$A$26,1)))*(INDEX('Shultis Faw'!$C$2:$C$26,MATCH($C461,'Shultis Faw'!$A$2:$A$26,1)+1)-INDEX('Shultis Faw'!$C$2:$C$26,MATCH($C461,'Shultis Faw'!$A$2:$A$26,1)))/(INDEX('Shultis Faw'!$A$2:$A$26,MATCH($C461,'Shultis Faw'!$A$2:$A$26,1)+1)-INDEX('Shultis Faw'!$A$2:$A$26,MATCH($C461,'Shultis Faw'!$A$2:$A$26,1))),$C461*'Shultis Faw'!$C$2/'Shultis Faw'!$A$2)</f>
        <v>2.9617941999999999</v>
      </c>
      <c r="J461" s="83">
        <f>_xlfn.IFNA(INDEX('Shultis Faw'!$D$2:$D$26,MATCH($C461,'Shultis Faw'!$A$2:$A$26,1))+($C461-INDEX('Shultis Faw'!$A$2:$A$26,MATCH($C461,'Shultis Faw'!$A$2:$A$26,1)))*(INDEX('Shultis Faw'!$D$2:$D$26,MATCH($C461,'Shultis Faw'!$A$2:$A$26,1)+1)-INDEX('Shultis Faw'!$D$2:$D$26,MATCH($C461,'Shultis Faw'!$A$2:$A$26,1)))/(INDEX('Shultis Faw'!$A$2:$A$26,MATCH($C461,'Shultis Faw'!$A$2:$A$26,1)+1)-INDEX('Shultis Faw'!$A$2:$A$26,MATCH($C461,'Shultis Faw'!$A$2:$A$26,1))),$C461*'Shultis Faw'!$D$2/'Shultis Faw'!$A$2)</f>
        <v>2.0318867999999997</v>
      </c>
      <c r="K461" s="83">
        <f>_xlfn.IFNA(INDEX('Shultis Faw'!$B$2:$B$26,MATCH($C461,'Shultis Faw'!$A$2:$A$26,1))+($C461-INDEX('Shultis Faw'!$A$2:$A$26,MATCH($C461,'Shultis Faw'!$A$2:$A$26,1)))*(INDEX('Shultis Faw'!$B$2:$B$26,MATCH($C461,'Shultis Faw'!$A$2:$A$26,1)+1)-INDEX('Shultis Faw'!$B$2:$B$26,MATCH($C461,'Shultis Faw'!$A$2:$A$26,1)))/(INDEX('Shultis Faw'!$A$2:$A$26,MATCH($C461,'Shultis Faw'!$A$2:$A$26,1)+1)-INDEX('Shultis Faw'!$A$2:$A$26,MATCH($C461,'Shultis Faw'!$A$2:$A$26,1))),$C461*'Shultis Faw'!$B$2/'Shultis Faw'!$A$2)</f>
        <v>-0.16489880000000001</v>
      </c>
      <c r="L461" s="83">
        <f>_xlfn.IFNA(INDEX('Shultis Faw'!$E$2:$E$26,MATCH($C461,'Shultis Faw'!$A$2:$A$26,1))+($C461-INDEX('Shultis Faw'!$A$2:$A$26,MATCH($C461,'Shultis Faw'!$A$2:$A$26,1)))*(INDEX('Shultis Faw'!$E$2:$E$26,MATCH($C461,'Shultis Faw'!$A$2:$A$26,1)+1)-INDEX('Shultis Faw'!$E$2:$E$26,MATCH($C461,'Shultis Faw'!$A$2:$A$26,1)))/(INDEX('Shultis Faw'!$A$2:$A$26,MATCH($C461,'Shultis Faw'!$A$2:$A$26,1)+1)-INDEX('Shultis Faw'!$A$2:$A$26,MATCH($C461,'Shultis Faw'!$A$2:$A$26,1))),$C461*'Shultis Faw'!$E$2/'Shultis Faw'!$A$2)</f>
        <v>6.6391310000000009E-2</v>
      </c>
      <c r="M461" s="83">
        <f>_xlfn.IFNA(INDEX('Shultis Faw'!$F$2:$F$26,MATCH($C461,'Shultis Faw'!$A$2:$A$26,1))+($C461-INDEX('Shultis Faw'!$A$2:$A$26,MATCH($C461,'Shultis Faw'!$A$2:$A$26,1)))*(INDEX('Shultis Faw'!$F$2:$F$26,MATCH($C461,'Shultis Faw'!$A$2:$A$26,1)+1)-INDEX('Shultis Faw'!$F$2:$F$26,MATCH($C461,'Shultis Faw'!$A$2:$A$26,1)))/(INDEX('Shultis Faw'!$A$2:$A$26,MATCH($C461,'Shultis Faw'!$A$2:$A$26,1)+1)-INDEX('Shultis Faw'!$A$2:$A$26,MATCH($C461,'Shultis Faw'!$A$2:$A$26,1))),$C461*'Shultis Faw'!$F$2/'Shultis Faw'!$A$2)</f>
        <v>14.231721</v>
      </c>
      <c r="N461" s="83">
        <f>J461*(H461*'Externe blootstelling'!$D$23/2)^K461+L461*(TANH(((H461*'Externe blootstelling'!$D$23)/(2*M461))-2)-TANH(-2))/(1-TANH(-2))</f>
        <v>1.845498794750833</v>
      </c>
      <c r="O461" s="83">
        <f>IF(N461=1,1+(I461-1)*H461*'Externe blootstelling'!$D$23/2,1+(I461-1)*(N461^(H461*'Externe blootstelling'!$D$23/2)-1)/(N461-1))</f>
        <v>5.6463265122303081</v>
      </c>
      <c r="P461" s="67">
        <f>G461*EXP(-H461*'Externe blootstelling'!$D$23/2)*O461</f>
        <v>1.1328852060150789E-2</v>
      </c>
      <c r="Q461" s="68"/>
    </row>
    <row r="462" spans="1:17" x14ac:dyDescent="0.2">
      <c r="A462" s="217"/>
      <c r="B462" s="77"/>
      <c r="C462" s="66">
        <v>0.2964581</v>
      </c>
      <c r="D462" s="66">
        <f t="shared" si="33"/>
        <v>4.7433295999999993E-14</v>
      </c>
      <c r="E462" s="66">
        <v>5.0799999999999998E-2</v>
      </c>
      <c r="F462" s="66">
        <f>_xlfn.IFNA(INDEX('hp (pSv cm2)'!$B$2:$B$52,MATCH($C462,'hp (pSv cm2)'!$A$2:$A$52,1))+($C462-INDEX('hp (pSv cm2)'!$A$2:$A$52,MATCH($C462,'hp (pSv cm2)'!$A$2:$A$52,1)))*(INDEX('hp (pSv cm2)'!$B$2:$B$52,MATCH($C462,'hp (pSv cm2)'!$A$2:$A$52,1)+1)-INDEX('hp (pSv cm2)'!$B$2:$B$52,MATCH($C462,'hp (pSv cm2)'!$A$2:$A$52,1)))/(INDEX('hp (pSv cm2)'!$A$2:$A$52,MATCH($C462,'hp (pSv cm2)'!$A$2:$A$52,1)+1)-INDEX('hp (pSv cm2)'!$A$2:$A$52,MATCH($C462,'hp (pSv cm2)'!$A$2:$A$52,1))),$C462*'hp (pSv cm2)'!$B$2/'hp (pSv cm2)'!$A$2)</f>
        <v>1.49193631</v>
      </c>
      <c r="G462" s="67">
        <f t="shared" si="34"/>
        <v>7.5790364548000005E-2</v>
      </c>
      <c r="H462" s="83">
        <f>_xlfn.IFNA(0.997*(INDEX('Mass attenuation coefficients'!$B$2:$B$37,MATCH($C462,'Mass attenuation coefficients'!$A$2:$A$37,1))+($C462-INDEX('Mass attenuation coefficients'!$A$2:$A$37,MATCH($C462,'Mass attenuation coefficients'!$A$2:$A$37,1)))*(INDEX('Mass attenuation coefficients'!$B$2:$B$37,MATCH($C462,'Mass attenuation coefficients'!$A$2:$A$37,1)+1)-INDEX('Mass attenuation coefficients'!$B$2:$B$37,MATCH($C462,'Mass attenuation coefficients'!$A$2:$A$37,1)))/(INDEX('Mass attenuation coefficients'!$A$2:$A$37,MATCH($C462,'Mass attenuation coefficients'!$A$2:$A$37,1)+1)-INDEX('Mass attenuation coefficients'!$A$2:$A$37,MATCH($C462,'Mass attenuation coefficients'!$A$2:$A$37,1)))),0.997*$C462*'Mass attenuation coefficients'!$B$2/'Mass attenuation coefficients'!$A$2)</f>
        <v>0.11889395447119999</v>
      </c>
      <c r="I462" s="83">
        <f>_xlfn.IFNA(INDEX('Shultis Faw'!$C$2:$C$26,MATCH($C462,'Shultis Faw'!$A$2:$A$26,1))+($C462-INDEX('Shultis Faw'!$A$2:$A$26,MATCH($C462,'Shultis Faw'!$A$2:$A$26,1)))*(INDEX('Shultis Faw'!$C$2:$C$26,MATCH($C462,'Shultis Faw'!$A$2:$A$26,1)+1)-INDEX('Shultis Faw'!$C$2:$C$26,MATCH($C462,'Shultis Faw'!$A$2:$A$26,1)))/(INDEX('Shultis Faw'!$A$2:$A$26,MATCH($C462,'Shultis Faw'!$A$2:$A$26,1)+1)-INDEX('Shultis Faw'!$A$2:$A$26,MATCH($C462,'Shultis Faw'!$A$2:$A$26,1))),$C462*'Shultis Faw'!$C$2/'Shultis Faw'!$A$2)</f>
        <v>2.9397638019999999</v>
      </c>
      <c r="J462" s="83">
        <f>_xlfn.IFNA(INDEX('Shultis Faw'!$D$2:$D$26,MATCH($C462,'Shultis Faw'!$A$2:$A$26,1))+($C462-INDEX('Shultis Faw'!$A$2:$A$26,MATCH($C462,'Shultis Faw'!$A$2:$A$26,1)))*(INDEX('Shultis Faw'!$D$2:$D$26,MATCH($C462,'Shultis Faw'!$A$2:$A$26,1)+1)-INDEX('Shultis Faw'!$D$2:$D$26,MATCH($C462,'Shultis Faw'!$A$2:$A$26,1)))/(INDEX('Shultis Faw'!$A$2:$A$26,MATCH($C462,'Shultis Faw'!$A$2:$A$26,1)+1)-INDEX('Shultis Faw'!$A$2:$A$26,MATCH($C462,'Shultis Faw'!$A$2:$A$26,1))),$C462*'Shultis Faw'!$D$2/'Shultis Faw'!$A$2)</f>
        <v>2.0266753079999997</v>
      </c>
      <c r="K462" s="83">
        <f>_xlfn.IFNA(INDEX('Shultis Faw'!$B$2:$B$26,MATCH($C462,'Shultis Faw'!$A$2:$A$26,1))+($C462-INDEX('Shultis Faw'!$A$2:$A$26,MATCH($C462,'Shultis Faw'!$A$2:$A$26,1)))*(INDEX('Shultis Faw'!$B$2:$B$26,MATCH($C462,'Shultis Faw'!$A$2:$A$26,1)+1)-INDEX('Shultis Faw'!$B$2:$B$26,MATCH($C462,'Shultis Faw'!$A$2:$A$26,1)))/(INDEX('Shultis Faw'!$A$2:$A$26,MATCH($C462,'Shultis Faw'!$A$2:$A$26,1)+1)-INDEX('Shultis Faw'!$A$2:$A$26,MATCH($C462,'Shultis Faw'!$A$2:$A$26,1))),$C462*'Shultis Faw'!$B$2/'Shultis Faw'!$A$2)</f>
        <v>-0.164425028</v>
      </c>
      <c r="L462" s="83">
        <f>_xlfn.IFNA(INDEX('Shultis Faw'!$E$2:$E$26,MATCH($C462,'Shultis Faw'!$A$2:$A$26,1))+($C462-INDEX('Shultis Faw'!$A$2:$A$26,MATCH($C462,'Shultis Faw'!$A$2:$A$26,1)))*(INDEX('Shultis Faw'!$E$2:$E$26,MATCH($C462,'Shultis Faw'!$A$2:$A$26,1)+1)-INDEX('Shultis Faw'!$E$2:$E$26,MATCH($C462,'Shultis Faw'!$A$2:$A$26,1)))/(INDEX('Shultis Faw'!$A$2:$A$26,MATCH($C462,'Shultis Faw'!$A$2:$A$26,1)+1)-INDEX('Shultis Faw'!$A$2:$A$26,MATCH($C462,'Shultis Faw'!$A$2:$A$26,1))),$C462*'Shultis Faw'!$E$2/'Shultis Faw'!$A$2)</f>
        <v>6.5921486099999996E-2</v>
      </c>
      <c r="M462" s="83">
        <f>_xlfn.IFNA(INDEX('Shultis Faw'!$F$2:$F$26,MATCH($C462,'Shultis Faw'!$A$2:$A$26,1))+($C462-INDEX('Shultis Faw'!$A$2:$A$26,MATCH($C462,'Shultis Faw'!$A$2:$A$26,1)))*(INDEX('Shultis Faw'!$F$2:$F$26,MATCH($C462,'Shultis Faw'!$A$2:$A$26,1)+1)-INDEX('Shultis Faw'!$F$2:$F$26,MATCH($C462,'Shultis Faw'!$A$2:$A$26,1)))/(INDEX('Shultis Faw'!$A$2:$A$26,MATCH($C462,'Shultis Faw'!$A$2:$A$26,1)+1)-INDEX('Shultis Faw'!$A$2:$A$26,MATCH($C462,'Shultis Faw'!$A$2:$A$26,1))),$C462*'Shultis Faw'!$F$2/'Shultis Faw'!$A$2)</f>
        <v>14.22027151</v>
      </c>
      <c r="N462" s="83">
        <f>J462*(H462*'Externe blootstelling'!$D$23/2)^K462+L462*(TANH(((H462*'Externe blootstelling'!$D$23)/(2*M462))-2)-TANH(-2))/(1-TANH(-2))</f>
        <v>1.8431109008577955</v>
      </c>
      <c r="O462" s="83">
        <f>IF(N462=1,1+(I462-1)*H462*'Externe blootstelling'!$D$23/2,1+(I462-1)*(N462^(H462*'Externe blootstelling'!$D$23/2)-1)/(N462-1))</f>
        <v>5.5455020469272513</v>
      </c>
      <c r="P462" s="67">
        <f>G462*EXP(-H462*'Externe blootstelling'!$D$23/2)*O462</f>
        <v>7.0636641260960073E-2</v>
      </c>
      <c r="Q462" s="68"/>
    </row>
    <row r="463" spans="1:17" x14ac:dyDescent="0.2">
      <c r="A463" s="217"/>
      <c r="B463" s="77"/>
      <c r="C463" s="66">
        <v>0.2990506</v>
      </c>
      <c r="D463" s="66">
        <f t="shared" si="33"/>
        <v>4.7848095999999995E-14</v>
      </c>
      <c r="E463" s="66">
        <v>1.7999999999999999E-2</v>
      </c>
      <c r="F463" s="66">
        <f>_xlfn.IFNA(INDEX('hp (pSv cm2)'!$B$2:$B$52,MATCH($C463,'hp (pSv cm2)'!$A$2:$A$52,1))+($C463-INDEX('hp (pSv cm2)'!$A$2:$A$52,MATCH($C463,'hp (pSv cm2)'!$A$2:$A$52,1)))*(INDEX('hp (pSv cm2)'!$B$2:$B$52,MATCH($C463,'hp (pSv cm2)'!$A$2:$A$52,1)+1)-INDEX('hp (pSv cm2)'!$B$2:$B$52,MATCH($C463,'hp (pSv cm2)'!$A$2:$A$52,1)))/(INDEX('hp (pSv cm2)'!$A$2:$A$52,MATCH($C463,'hp (pSv cm2)'!$A$2:$A$52,1)+1)-INDEX('hp (pSv cm2)'!$A$2:$A$52,MATCH($C463,'hp (pSv cm2)'!$A$2:$A$52,1))),$C463*'hp (pSv cm2)'!$B$2/'hp (pSv cm2)'!$A$2)</f>
        <v>1.5051580600000001</v>
      </c>
      <c r="G463" s="67">
        <f t="shared" si="34"/>
        <v>2.709284508E-2</v>
      </c>
      <c r="H463" s="83">
        <f>_xlfn.IFNA(0.997*(INDEX('Mass attenuation coefficients'!$B$2:$B$37,MATCH($C463,'Mass attenuation coefficients'!$A$2:$A$37,1))+($C463-INDEX('Mass attenuation coefficients'!$A$2:$A$37,MATCH($C463,'Mass attenuation coefficients'!$A$2:$A$37,1)))*(INDEX('Mass attenuation coefficients'!$B$2:$B$37,MATCH($C463,'Mass attenuation coefficients'!$A$2:$A$37,1)+1)-INDEX('Mass attenuation coefficients'!$B$2:$B$37,MATCH($C463,'Mass attenuation coefficients'!$A$2:$A$37,1)))/(INDEX('Mass attenuation coefficients'!$A$2:$A$37,MATCH($C463,'Mass attenuation coefficients'!$A$2:$A$37,1)+1)-INDEX('Mass attenuation coefficients'!$A$2:$A$37,MATCH($C463,'Mass attenuation coefficients'!$A$2:$A$37,1)))),0.997*$C463*'Mass attenuation coefficients'!$B$2/'Mass attenuation coefficients'!$A$2)</f>
        <v>0.1184183655312</v>
      </c>
      <c r="I463" s="83">
        <f>_xlfn.IFNA(INDEX('Shultis Faw'!$C$2:$C$26,MATCH($C463,'Shultis Faw'!$A$2:$A$26,1))+($C463-INDEX('Shultis Faw'!$A$2:$A$26,MATCH($C463,'Shultis Faw'!$A$2:$A$26,1)))*(INDEX('Shultis Faw'!$C$2:$C$26,MATCH($C463,'Shultis Faw'!$A$2:$A$26,1)+1)-INDEX('Shultis Faw'!$C$2:$C$26,MATCH($C463,'Shultis Faw'!$A$2:$A$26,1)))/(INDEX('Shultis Faw'!$A$2:$A$26,MATCH($C463,'Shultis Faw'!$A$2:$A$26,1)+1)-INDEX('Shultis Faw'!$A$2:$A$26,MATCH($C463,'Shultis Faw'!$A$2:$A$26,1))),$C463*'Shultis Faw'!$C$2/'Shultis Faw'!$A$2)</f>
        <v>2.9252976519999998</v>
      </c>
      <c r="J463" s="83">
        <f>_xlfn.IFNA(INDEX('Shultis Faw'!$D$2:$D$26,MATCH($C463,'Shultis Faw'!$A$2:$A$26,1))+($C463-INDEX('Shultis Faw'!$A$2:$A$26,MATCH($C463,'Shultis Faw'!$A$2:$A$26,1)))*(INDEX('Shultis Faw'!$D$2:$D$26,MATCH($C463,'Shultis Faw'!$A$2:$A$26,1)+1)-INDEX('Shultis Faw'!$D$2:$D$26,MATCH($C463,'Shultis Faw'!$A$2:$A$26,1)))/(INDEX('Shultis Faw'!$A$2:$A$26,MATCH($C463,'Shultis Faw'!$A$2:$A$26,1)+1)-INDEX('Shultis Faw'!$A$2:$A$26,MATCH($C463,'Shultis Faw'!$A$2:$A$26,1))),$C463*'Shultis Faw'!$D$2/'Shultis Faw'!$A$2)</f>
        <v>2.0232532079999999</v>
      </c>
      <c r="K463" s="83">
        <f>_xlfn.IFNA(INDEX('Shultis Faw'!$B$2:$B$26,MATCH($C463,'Shultis Faw'!$A$2:$A$26,1))+($C463-INDEX('Shultis Faw'!$A$2:$A$26,MATCH($C463,'Shultis Faw'!$A$2:$A$26,1)))*(INDEX('Shultis Faw'!$B$2:$B$26,MATCH($C463,'Shultis Faw'!$A$2:$A$26,1)+1)-INDEX('Shultis Faw'!$B$2:$B$26,MATCH($C463,'Shultis Faw'!$A$2:$A$26,1)))/(INDEX('Shultis Faw'!$A$2:$A$26,MATCH($C463,'Shultis Faw'!$A$2:$A$26,1)+1)-INDEX('Shultis Faw'!$A$2:$A$26,MATCH($C463,'Shultis Faw'!$A$2:$A$26,1))),$C463*'Shultis Faw'!$B$2/'Shultis Faw'!$A$2)</f>
        <v>-0.16411392799999999</v>
      </c>
      <c r="L463" s="83">
        <f>_xlfn.IFNA(INDEX('Shultis Faw'!$E$2:$E$26,MATCH($C463,'Shultis Faw'!$A$2:$A$26,1))+($C463-INDEX('Shultis Faw'!$A$2:$A$26,MATCH($C463,'Shultis Faw'!$A$2:$A$26,1)))*(INDEX('Shultis Faw'!$E$2:$E$26,MATCH($C463,'Shultis Faw'!$A$2:$A$26,1)+1)-INDEX('Shultis Faw'!$E$2:$E$26,MATCH($C463,'Shultis Faw'!$A$2:$A$26,1)))/(INDEX('Shultis Faw'!$A$2:$A$26,MATCH($C463,'Shultis Faw'!$A$2:$A$26,1)+1)-INDEX('Shultis Faw'!$A$2:$A$26,MATCH($C463,'Shultis Faw'!$A$2:$A$26,1))),$C463*'Shultis Faw'!$E$2/'Shultis Faw'!$A$2)</f>
        <v>6.5612978599999996E-2</v>
      </c>
      <c r="M463" s="83">
        <f>_xlfn.IFNA(INDEX('Shultis Faw'!$F$2:$F$26,MATCH($C463,'Shultis Faw'!$A$2:$A$26,1))+($C463-INDEX('Shultis Faw'!$A$2:$A$26,MATCH($C463,'Shultis Faw'!$A$2:$A$26,1)))*(INDEX('Shultis Faw'!$F$2:$F$26,MATCH($C463,'Shultis Faw'!$A$2:$A$26,1)+1)-INDEX('Shultis Faw'!$F$2:$F$26,MATCH($C463,'Shultis Faw'!$A$2:$A$26,1)))/(INDEX('Shultis Faw'!$A$2:$A$26,MATCH($C463,'Shultis Faw'!$A$2:$A$26,1)+1)-INDEX('Shultis Faw'!$A$2:$A$26,MATCH($C463,'Shultis Faw'!$A$2:$A$26,1))),$C463*'Shultis Faw'!$F$2/'Shultis Faw'!$A$2)</f>
        <v>14.212753260000001</v>
      </c>
      <c r="N463" s="83">
        <f>J463*(H463*'Externe blootstelling'!$D$23/2)^K463+L463*(TANH(((H463*'Externe blootstelling'!$D$23)/(2*M463))-2)-TANH(-2))/(1-TANH(-2))</f>
        <v>1.8415383017915758</v>
      </c>
      <c r="O463" s="83">
        <f>IF(N463=1,1+(I463-1)*H463*'Externe blootstelling'!$D$23/2,1+(I463-1)*(N463^(H463*'Externe blootstelling'!$D$23/2)-1)/(N463-1))</f>
        <v>5.4801331788418057</v>
      </c>
      <c r="P463" s="67">
        <f>G463*EXP(-H463*'Externe blootstelling'!$D$23/2)*O463</f>
        <v>2.5131539075870943E-2</v>
      </c>
      <c r="Q463" s="68"/>
    </row>
    <row r="464" spans="1:17" x14ac:dyDescent="0.2">
      <c r="A464" s="217"/>
      <c r="B464" s="77"/>
      <c r="C464" s="66">
        <v>0.30550279999999996</v>
      </c>
      <c r="D464" s="66">
        <f t="shared" si="33"/>
        <v>4.8880447999999997E-14</v>
      </c>
      <c r="E464" s="66">
        <v>1.8200000000000001E-2</v>
      </c>
      <c r="F464" s="66">
        <f>_xlfn.IFNA(INDEX('hp (pSv cm2)'!$B$2:$B$52,MATCH($C464,'hp (pSv cm2)'!$A$2:$A$52,1))+($C464-INDEX('hp (pSv cm2)'!$A$2:$A$52,MATCH($C464,'hp (pSv cm2)'!$A$2:$A$52,1)))*(INDEX('hp (pSv cm2)'!$B$2:$B$52,MATCH($C464,'hp (pSv cm2)'!$A$2:$A$52,1)+1)-INDEX('hp (pSv cm2)'!$B$2:$B$52,MATCH($C464,'hp (pSv cm2)'!$A$2:$A$52,1)))/(INDEX('hp (pSv cm2)'!$A$2:$A$52,MATCH($C464,'hp (pSv cm2)'!$A$2:$A$52,1)+1)-INDEX('hp (pSv cm2)'!$A$2:$A$52,MATCH($C464,'hp (pSv cm2)'!$A$2:$A$52,1))),$C464*'hp (pSv cm2)'!$B$2/'hp (pSv cm2)'!$A$2)</f>
        <v>1.5369637199999999</v>
      </c>
      <c r="G464" s="67">
        <f t="shared" si="34"/>
        <v>2.7972739704000001E-2</v>
      </c>
      <c r="H464" s="83">
        <f>_xlfn.IFNA(0.997*(INDEX('Mass attenuation coefficients'!$B$2:$B$37,MATCH($C464,'Mass attenuation coefficients'!$A$2:$A$37,1))+($C464-INDEX('Mass attenuation coefficients'!$A$2:$A$37,MATCH($C464,'Mass attenuation coefficients'!$A$2:$A$37,1)))*(INDEX('Mass attenuation coefficients'!$B$2:$B$37,MATCH($C464,'Mass attenuation coefficients'!$A$2:$A$37,1)+1)-INDEX('Mass attenuation coefficients'!$B$2:$B$37,MATCH($C464,'Mass attenuation coefficients'!$A$2:$A$37,1)))/(INDEX('Mass attenuation coefficients'!$A$2:$A$37,MATCH($C464,'Mass attenuation coefficients'!$A$2:$A$37,1)+1)-INDEX('Mass attenuation coefficients'!$A$2:$A$37,MATCH($C464,'Mass attenuation coefficients'!$A$2:$A$37,1)))),0.997*$C464*'Mass attenuation coefficients'!$B$2/'Mass attenuation coefficients'!$A$2)</f>
        <v>0.11755841355</v>
      </c>
      <c r="I464" s="83">
        <f>_xlfn.IFNA(INDEX('Shultis Faw'!$C$2:$C$26,MATCH($C464,'Shultis Faw'!$A$2:$A$26,1))+($C464-INDEX('Shultis Faw'!$A$2:$A$26,MATCH($C464,'Shultis Faw'!$A$2:$A$26,1)))*(INDEX('Shultis Faw'!$C$2:$C$26,MATCH($C464,'Shultis Faw'!$A$2:$A$26,1)+1)-INDEX('Shultis Faw'!$C$2:$C$26,MATCH($C464,'Shultis Faw'!$A$2:$A$26,1)))/(INDEX('Shultis Faw'!$A$2:$A$26,MATCH($C464,'Shultis Faw'!$A$2:$A$26,1)+1)-INDEX('Shultis Faw'!$A$2:$A$26,MATCH($C464,'Shultis Faw'!$A$2:$A$26,1))),$C464*'Shultis Faw'!$C$2/'Shultis Faw'!$A$2)</f>
        <v>2.9056927200000002</v>
      </c>
      <c r="J464" s="83">
        <f>_xlfn.IFNA(INDEX('Shultis Faw'!$D$2:$D$26,MATCH($C464,'Shultis Faw'!$A$2:$A$26,1))+($C464-INDEX('Shultis Faw'!$A$2:$A$26,MATCH($C464,'Shultis Faw'!$A$2:$A$26,1)))*(INDEX('Shultis Faw'!$D$2:$D$26,MATCH($C464,'Shultis Faw'!$A$2:$A$26,1)+1)-INDEX('Shultis Faw'!$D$2:$D$26,MATCH($C464,'Shultis Faw'!$A$2:$A$26,1)))/(INDEX('Shultis Faw'!$A$2:$A$26,MATCH($C464,'Shultis Faw'!$A$2:$A$26,1)+1)-INDEX('Shultis Faw'!$A$2:$A$26,MATCH($C464,'Shultis Faw'!$A$2:$A$26,1))),$C464*'Shultis Faw'!$D$2/'Shultis Faw'!$A$2)</f>
        <v>2.0142960799999998</v>
      </c>
      <c r="K464" s="83">
        <f>_xlfn.IFNA(INDEX('Shultis Faw'!$B$2:$B$26,MATCH($C464,'Shultis Faw'!$A$2:$A$26,1))+($C464-INDEX('Shultis Faw'!$A$2:$A$26,MATCH($C464,'Shultis Faw'!$A$2:$A$26,1)))*(INDEX('Shultis Faw'!$B$2:$B$26,MATCH($C464,'Shultis Faw'!$A$2:$A$26,1)+1)-INDEX('Shultis Faw'!$B$2:$B$26,MATCH($C464,'Shultis Faw'!$A$2:$A$26,1)))/(INDEX('Shultis Faw'!$A$2:$A$26,MATCH($C464,'Shultis Faw'!$A$2:$A$26,1)+1)-INDEX('Shultis Faw'!$A$2:$A$26,MATCH($C464,'Shultis Faw'!$A$2:$A$26,1))),$C464*'Shultis Faw'!$B$2/'Shultis Faw'!$A$2)</f>
        <v>-0.16317458000000001</v>
      </c>
      <c r="L464" s="83">
        <f>_xlfn.IFNA(INDEX('Shultis Faw'!$E$2:$E$26,MATCH($C464,'Shultis Faw'!$A$2:$A$26,1))+($C464-INDEX('Shultis Faw'!$A$2:$A$26,MATCH($C464,'Shultis Faw'!$A$2:$A$26,1)))*(INDEX('Shultis Faw'!$E$2:$E$26,MATCH($C464,'Shultis Faw'!$A$2:$A$26,1)+1)-INDEX('Shultis Faw'!$E$2:$E$26,MATCH($C464,'Shultis Faw'!$A$2:$A$26,1)))/(INDEX('Shultis Faw'!$A$2:$A$26,MATCH($C464,'Shultis Faw'!$A$2:$A$26,1)+1)-INDEX('Shultis Faw'!$A$2:$A$26,MATCH($C464,'Shultis Faw'!$A$2:$A$26,1))),$C464*'Shultis Faw'!$E$2/'Shultis Faw'!$A$2)</f>
        <v>6.5169832000000011E-2</v>
      </c>
      <c r="M464" s="83">
        <f>_xlfn.IFNA(INDEX('Shultis Faw'!$F$2:$F$26,MATCH($C464,'Shultis Faw'!$A$2:$A$26,1))+($C464-INDEX('Shultis Faw'!$A$2:$A$26,MATCH($C464,'Shultis Faw'!$A$2:$A$26,1)))*(INDEX('Shultis Faw'!$F$2:$F$26,MATCH($C464,'Shultis Faw'!$A$2:$A$26,1)+1)-INDEX('Shultis Faw'!$F$2:$F$26,MATCH($C464,'Shultis Faw'!$A$2:$A$26,1)))/(INDEX('Shultis Faw'!$A$2:$A$26,MATCH($C464,'Shultis Faw'!$A$2:$A$26,1)+1)-INDEX('Shultis Faw'!$A$2:$A$26,MATCH($C464,'Shultis Faw'!$A$2:$A$26,1))),$C464*'Shultis Faw'!$F$2/'Shultis Faw'!$A$2)</f>
        <v>14.211650840000001</v>
      </c>
      <c r="N464" s="83">
        <f>J464*(H464*'Externe blootstelling'!$D$23/2)^K464+L464*(TANH(((H464*'Externe blootstelling'!$D$23)/(2*M464))-2)-TANH(-2))/(1-TANH(-2))</f>
        <v>1.8365542248257545</v>
      </c>
      <c r="O464" s="83">
        <f>IF(N464=1,1+(I464-1)*H464*'Externe blootstelling'!$D$23/2,1+(I464-1)*(N464^(H464*'Externe blootstelling'!$D$23/2)-1)/(N464-1))</f>
        <v>5.3761867697600847</v>
      </c>
      <c r="P464" s="67">
        <f>G464*EXP(-H464*'Externe blootstelling'!$D$23/2)*O464</f>
        <v>2.5786048625066435E-2</v>
      </c>
      <c r="Q464" s="68"/>
    </row>
    <row r="465" spans="1:17" x14ac:dyDescent="0.2">
      <c r="A465" s="217"/>
      <c r="B465" s="77"/>
      <c r="C465" s="66">
        <v>0.31372509999999998</v>
      </c>
      <c r="D465" s="66">
        <f t="shared" si="33"/>
        <v>5.0196015999999995E-14</v>
      </c>
      <c r="E465" s="66">
        <v>1.26E-2</v>
      </c>
      <c r="F465" s="66">
        <f>_xlfn.IFNA(INDEX('hp (pSv cm2)'!$B$2:$B$52,MATCH($C465,'hp (pSv cm2)'!$A$2:$A$52,1))+($C465-INDEX('hp (pSv cm2)'!$A$2:$A$52,MATCH($C465,'hp (pSv cm2)'!$A$2:$A$52,1)))*(INDEX('hp (pSv cm2)'!$B$2:$B$52,MATCH($C465,'hp (pSv cm2)'!$A$2:$A$52,1)+1)-INDEX('hp (pSv cm2)'!$B$2:$B$52,MATCH($C465,'hp (pSv cm2)'!$A$2:$A$52,1)))/(INDEX('hp (pSv cm2)'!$A$2:$A$52,MATCH($C465,'hp (pSv cm2)'!$A$2:$A$52,1)+1)-INDEX('hp (pSv cm2)'!$A$2:$A$52,MATCH($C465,'hp (pSv cm2)'!$A$2:$A$52,1))),$C465*'hp (pSv cm2)'!$B$2/'hp (pSv cm2)'!$A$2)</f>
        <v>1.5772529899999999</v>
      </c>
      <c r="G465" s="67">
        <f t="shared" si="34"/>
        <v>1.9873387673999997E-2</v>
      </c>
      <c r="H465" s="83">
        <f>_xlfn.IFNA(0.997*(INDEX('Mass attenuation coefficients'!$B$2:$B$37,MATCH($C465,'Mass attenuation coefficients'!$A$2:$A$37,1))+($C465-INDEX('Mass attenuation coefficients'!$A$2:$A$37,MATCH($C465,'Mass attenuation coefficients'!$A$2:$A$37,1)))*(INDEX('Mass attenuation coefficients'!$B$2:$B$37,MATCH($C465,'Mass attenuation coefficients'!$A$2:$A$37,1)+1)-INDEX('Mass attenuation coefficients'!$B$2:$B$37,MATCH($C465,'Mass attenuation coefficients'!$A$2:$A$37,1)))/(INDEX('Mass attenuation coefficients'!$A$2:$A$37,MATCH($C465,'Mass attenuation coefficients'!$A$2:$A$37,1)+1)-INDEX('Mass attenuation coefficients'!$A$2:$A$37,MATCH($C465,'Mass attenuation coefficients'!$A$2:$A$37,1)))),0.997*$C465*'Mass attenuation coefficients'!$B$2/'Mass attenuation coefficients'!$A$2)</f>
        <v>0.11653370941250001</v>
      </c>
      <c r="I465" s="83">
        <f>_xlfn.IFNA(INDEX('Shultis Faw'!$C$2:$C$26,MATCH($C465,'Shultis Faw'!$A$2:$A$26,1))+($C465-INDEX('Shultis Faw'!$A$2:$A$26,MATCH($C465,'Shultis Faw'!$A$2:$A$26,1)))*(INDEX('Shultis Faw'!$C$2:$C$26,MATCH($C465,'Shultis Faw'!$A$2:$A$26,1)+1)-INDEX('Shultis Faw'!$C$2:$C$26,MATCH($C465,'Shultis Faw'!$A$2:$A$26,1)))/(INDEX('Shultis Faw'!$A$2:$A$26,MATCH($C465,'Shultis Faw'!$A$2:$A$26,1)+1)-INDEX('Shultis Faw'!$A$2:$A$26,MATCH($C465,'Shultis Faw'!$A$2:$A$26,1))),$C465*'Shultis Faw'!$C$2/'Shultis Faw'!$A$2)</f>
        <v>2.8843147400000002</v>
      </c>
      <c r="J465" s="83">
        <f>_xlfn.IFNA(INDEX('Shultis Faw'!$D$2:$D$26,MATCH($C465,'Shultis Faw'!$A$2:$A$26,1))+($C465-INDEX('Shultis Faw'!$A$2:$A$26,MATCH($C465,'Shultis Faw'!$A$2:$A$26,1)))*(INDEX('Shultis Faw'!$D$2:$D$26,MATCH($C465,'Shultis Faw'!$A$2:$A$26,1)+1)-INDEX('Shultis Faw'!$D$2:$D$26,MATCH($C465,'Shultis Faw'!$A$2:$A$26,1)))/(INDEX('Shultis Faw'!$A$2:$A$26,MATCH($C465,'Shultis Faw'!$A$2:$A$26,1)+1)-INDEX('Shultis Faw'!$A$2:$A$26,MATCH($C465,'Shultis Faw'!$A$2:$A$26,1))),$C465*'Shultis Faw'!$D$2/'Shultis Faw'!$A$2)</f>
        <v>2.0027848599999998</v>
      </c>
      <c r="K465" s="83">
        <f>_xlfn.IFNA(INDEX('Shultis Faw'!$B$2:$B$26,MATCH($C465,'Shultis Faw'!$A$2:$A$26,1))+($C465-INDEX('Shultis Faw'!$A$2:$A$26,MATCH($C465,'Shultis Faw'!$A$2:$A$26,1)))*(INDEX('Shultis Faw'!$B$2:$B$26,MATCH($C465,'Shultis Faw'!$A$2:$A$26,1)+1)-INDEX('Shultis Faw'!$B$2:$B$26,MATCH($C465,'Shultis Faw'!$A$2:$A$26,1)))/(INDEX('Shultis Faw'!$A$2:$A$26,MATCH($C465,'Shultis Faw'!$A$2:$A$26,1)+1)-INDEX('Shultis Faw'!$A$2:$A$26,MATCH($C465,'Shultis Faw'!$A$2:$A$26,1))),$C465*'Shultis Faw'!$B$2/'Shultis Faw'!$A$2)</f>
        <v>-0.16194123500000002</v>
      </c>
      <c r="L465" s="83">
        <f>_xlfn.IFNA(INDEX('Shultis Faw'!$E$2:$E$26,MATCH($C465,'Shultis Faw'!$A$2:$A$26,1))+($C465-INDEX('Shultis Faw'!$A$2:$A$26,MATCH($C465,'Shultis Faw'!$A$2:$A$26,1)))*(INDEX('Shultis Faw'!$E$2:$E$26,MATCH($C465,'Shultis Faw'!$A$2:$A$26,1)+1)-INDEX('Shultis Faw'!$E$2:$E$26,MATCH($C465,'Shultis Faw'!$A$2:$A$26,1)))/(INDEX('Shultis Faw'!$A$2:$A$26,MATCH($C465,'Shultis Faw'!$A$2:$A$26,1)+1)-INDEX('Shultis Faw'!$A$2:$A$26,MATCH($C465,'Shultis Faw'!$A$2:$A$26,1))),$C465*'Shultis Faw'!$E$2/'Shultis Faw'!$A$2)</f>
        <v>6.4676494000000001E-2</v>
      </c>
      <c r="M465" s="83">
        <f>_xlfn.IFNA(INDEX('Shultis Faw'!$F$2:$F$26,MATCH($C465,'Shultis Faw'!$A$2:$A$26,1))+($C465-INDEX('Shultis Faw'!$A$2:$A$26,MATCH($C465,'Shultis Faw'!$A$2:$A$26,1)))*(INDEX('Shultis Faw'!$F$2:$F$26,MATCH($C465,'Shultis Faw'!$A$2:$A$26,1)+1)-INDEX('Shultis Faw'!$F$2:$F$26,MATCH($C465,'Shultis Faw'!$A$2:$A$26,1)))/(INDEX('Shultis Faw'!$A$2:$A$26,MATCH($C465,'Shultis Faw'!$A$2:$A$26,1)+1)-INDEX('Shultis Faw'!$A$2:$A$26,MATCH($C465,'Shultis Faw'!$A$2:$A$26,1))),$C465*'Shultis Faw'!$F$2/'Shultis Faw'!$A$2)</f>
        <v>14.214117530000001</v>
      </c>
      <c r="N465" s="83">
        <f>J465*(H465*'Externe blootstelling'!$D$23/2)^K465+L465*(TANH(((H465*'Externe blootstelling'!$D$23)/(2*M465))-2)-TANH(-2))/(1-TANH(-2))</f>
        <v>1.8299247009987052</v>
      </c>
      <c r="O465" s="83">
        <f>IF(N465=1,1+(I465-1)*H465*'Externe blootstelling'!$D$23/2,1+(I465-1)*(N465^(H465*'Externe blootstelling'!$D$23/2)-1)/(N465-1))</f>
        <v>5.2585779044557821</v>
      </c>
      <c r="P465" s="67">
        <f>G465*EXP(-H465*'Externe blootstelling'!$D$23/2)*O465</f>
        <v>1.8196632010091716E-2</v>
      </c>
      <c r="Q465" s="68"/>
    </row>
    <row r="466" spans="1:17" x14ac:dyDescent="0.2">
      <c r="A466" s="217"/>
      <c r="B466" s="77"/>
      <c r="C466" s="66">
        <v>0.31902050000000004</v>
      </c>
      <c r="D466" s="66">
        <f t="shared" si="33"/>
        <v>5.1043280000000005E-14</v>
      </c>
      <c r="E466" s="66">
        <v>0.105</v>
      </c>
      <c r="F466" s="66">
        <f>_xlfn.IFNA(INDEX('hp (pSv cm2)'!$B$2:$B$52,MATCH($C466,'hp (pSv cm2)'!$A$2:$A$52,1))+($C466-INDEX('hp (pSv cm2)'!$A$2:$A$52,MATCH($C466,'hp (pSv cm2)'!$A$2:$A$52,1)))*(INDEX('hp (pSv cm2)'!$B$2:$B$52,MATCH($C466,'hp (pSv cm2)'!$A$2:$A$52,1)+1)-INDEX('hp (pSv cm2)'!$B$2:$B$52,MATCH($C466,'hp (pSv cm2)'!$A$2:$A$52,1)))/(INDEX('hp (pSv cm2)'!$A$2:$A$52,MATCH($C466,'hp (pSv cm2)'!$A$2:$A$52,1)+1)-INDEX('hp (pSv cm2)'!$A$2:$A$52,MATCH($C466,'hp (pSv cm2)'!$A$2:$A$52,1))),$C466*'hp (pSv cm2)'!$B$2/'hp (pSv cm2)'!$A$2)</f>
        <v>1.6032004500000003</v>
      </c>
      <c r="G466" s="67">
        <f t="shared" si="34"/>
        <v>0.16833604725000004</v>
      </c>
      <c r="H466" s="83">
        <f>_xlfn.IFNA(0.997*(INDEX('Mass attenuation coefficients'!$B$2:$B$37,MATCH($C466,'Mass attenuation coefficients'!$A$2:$A$37,1))+($C466-INDEX('Mass attenuation coefficients'!$A$2:$A$37,MATCH($C466,'Mass attenuation coefficients'!$A$2:$A$37,1)))*(INDEX('Mass attenuation coefficients'!$B$2:$B$37,MATCH($C466,'Mass attenuation coefficients'!$A$2:$A$37,1)+1)-INDEX('Mass attenuation coefficients'!$B$2:$B$37,MATCH($C466,'Mass attenuation coefficients'!$A$2:$A$37,1)))/(INDEX('Mass attenuation coefficients'!$A$2:$A$37,MATCH($C466,'Mass attenuation coefficients'!$A$2:$A$37,1)+1)-INDEX('Mass attenuation coefficients'!$A$2:$A$37,MATCH($C466,'Mass attenuation coefficients'!$A$2:$A$37,1)))),0.997*$C466*'Mass attenuation coefficients'!$B$2/'Mass attenuation coefficients'!$A$2)</f>
        <v>0.1158737701875</v>
      </c>
      <c r="I466" s="83">
        <f>_xlfn.IFNA(INDEX('Shultis Faw'!$C$2:$C$26,MATCH($C466,'Shultis Faw'!$A$2:$A$26,1))+($C466-INDEX('Shultis Faw'!$A$2:$A$26,MATCH($C466,'Shultis Faw'!$A$2:$A$26,1)))*(INDEX('Shultis Faw'!$C$2:$C$26,MATCH($C466,'Shultis Faw'!$A$2:$A$26,1)+1)-INDEX('Shultis Faw'!$C$2:$C$26,MATCH($C466,'Shultis Faw'!$A$2:$A$26,1)))/(INDEX('Shultis Faw'!$A$2:$A$26,MATCH($C466,'Shultis Faw'!$A$2:$A$26,1)+1)-INDEX('Shultis Faw'!$A$2:$A$26,MATCH($C466,'Shultis Faw'!$A$2:$A$26,1))),$C466*'Shultis Faw'!$C$2/'Shultis Faw'!$A$2)</f>
        <v>2.8705466999999998</v>
      </c>
      <c r="J466" s="83">
        <f>_xlfn.IFNA(INDEX('Shultis Faw'!$D$2:$D$26,MATCH($C466,'Shultis Faw'!$A$2:$A$26,1))+($C466-INDEX('Shultis Faw'!$A$2:$A$26,MATCH($C466,'Shultis Faw'!$A$2:$A$26,1)))*(INDEX('Shultis Faw'!$D$2:$D$26,MATCH($C466,'Shultis Faw'!$A$2:$A$26,1)+1)-INDEX('Shultis Faw'!$D$2:$D$26,MATCH($C466,'Shultis Faw'!$A$2:$A$26,1)))/(INDEX('Shultis Faw'!$A$2:$A$26,MATCH($C466,'Shultis Faw'!$A$2:$A$26,1)+1)-INDEX('Shultis Faw'!$A$2:$A$26,MATCH($C466,'Shultis Faw'!$A$2:$A$26,1))),$C466*'Shultis Faw'!$D$2/'Shultis Faw'!$A$2)</f>
        <v>1.9953712999999997</v>
      </c>
      <c r="K466" s="83">
        <f>_xlfn.IFNA(INDEX('Shultis Faw'!$B$2:$B$26,MATCH($C466,'Shultis Faw'!$A$2:$A$26,1))+($C466-INDEX('Shultis Faw'!$A$2:$A$26,MATCH($C466,'Shultis Faw'!$A$2:$A$26,1)))*(INDEX('Shultis Faw'!$B$2:$B$26,MATCH($C466,'Shultis Faw'!$A$2:$A$26,1)+1)-INDEX('Shultis Faw'!$B$2:$B$26,MATCH($C466,'Shultis Faw'!$A$2:$A$26,1)))/(INDEX('Shultis Faw'!$A$2:$A$26,MATCH($C466,'Shultis Faw'!$A$2:$A$26,1)+1)-INDEX('Shultis Faw'!$A$2:$A$26,MATCH($C466,'Shultis Faw'!$A$2:$A$26,1))),$C466*'Shultis Faw'!$B$2/'Shultis Faw'!$A$2)</f>
        <v>-0.161146925</v>
      </c>
      <c r="L466" s="83">
        <f>_xlfn.IFNA(INDEX('Shultis Faw'!$E$2:$E$26,MATCH($C466,'Shultis Faw'!$A$2:$A$26,1))+($C466-INDEX('Shultis Faw'!$A$2:$A$26,MATCH($C466,'Shultis Faw'!$A$2:$A$26,1)))*(INDEX('Shultis Faw'!$E$2:$E$26,MATCH($C466,'Shultis Faw'!$A$2:$A$26,1)+1)-INDEX('Shultis Faw'!$E$2:$E$26,MATCH($C466,'Shultis Faw'!$A$2:$A$26,1)))/(INDEX('Shultis Faw'!$A$2:$A$26,MATCH($C466,'Shultis Faw'!$A$2:$A$26,1)+1)-INDEX('Shultis Faw'!$A$2:$A$26,MATCH($C466,'Shultis Faw'!$A$2:$A$26,1))),$C466*'Shultis Faw'!$E$2/'Shultis Faw'!$A$2)</f>
        <v>6.4358769999999996E-2</v>
      </c>
      <c r="M466" s="83">
        <f>_xlfn.IFNA(INDEX('Shultis Faw'!$F$2:$F$26,MATCH($C466,'Shultis Faw'!$A$2:$A$26,1))+($C466-INDEX('Shultis Faw'!$A$2:$A$26,MATCH($C466,'Shultis Faw'!$A$2:$A$26,1)))*(INDEX('Shultis Faw'!$F$2:$F$26,MATCH($C466,'Shultis Faw'!$A$2:$A$26,1)+1)-INDEX('Shultis Faw'!$F$2:$F$26,MATCH($C466,'Shultis Faw'!$A$2:$A$26,1)))/(INDEX('Shultis Faw'!$A$2:$A$26,MATCH($C466,'Shultis Faw'!$A$2:$A$26,1)+1)-INDEX('Shultis Faw'!$A$2:$A$26,MATCH($C466,'Shultis Faw'!$A$2:$A$26,1))),$C466*'Shultis Faw'!$F$2/'Shultis Faw'!$A$2)</f>
        <v>14.215706150000001</v>
      </c>
      <c r="N466" s="83">
        <f>J466*(H466*'Externe blootstelling'!$D$23/2)^K466+L466*(TANH(((H466*'Externe blootstelling'!$D$23)/(2*M466))-2)-TANH(-2))/(1-TANH(-2))</f>
        <v>1.8256270482994541</v>
      </c>
      <c r="O466" s="83">
        <f>IF(N466=1,1+(I466-1)*H466*'Externe blootstelling'!$D$23/2,1+(I466-1)*(N466^(H466*'Externe blootstelling'!$D$23/2)-1)/(N466-1))</f>
        <v>5.1841987816552262</v>
      </c>
      <c r="P466" s="67">
        <f>G466*EXP(-H466*'Externe blootstelling'!$D$23/2)*O466</f>
        <v>0.15346476757505778</v>
      </c>
      <c r="Q466" s="68"/>
    </row>
    <row r="467" spans="1:17" x14ac:dyDescent="0.2">
      <c r="A467" s="217"/>
      <c r="B467" s="77"/>
      <c r="C467" s="66">
        <v>0.3213162</v>
      </c>
      <c r="D467" s="66">
        <f t="shared" si="33"/>
        <v>5.1410591999999999E-14</v>
      </c>
      <c r="E467" s="66">
        <v>1.2E-2</v>
      </c>
      <c r="F467" s="66">
        <f>_xlfn.IFNA(INDEX('hp (pSv cm2)'!$B$2:$B$52,MATCH($C467,'hp (pSv cm2)'!$A$2:$A$52,1))+($C467-INDEX('hp (pSv cm2)'!$A$2:$A$52,MATCH($C467,'hp (pSv cm2)'!$A$2:$A$52,1)))*(INDEX('hp (pSv cm2)'!$B$2:$B$52,MATCH($C467,'hp (pSv cm2)'!$A$2:$A$52,1)+1)-INDEX('hp (pSv cm2)'!$B$2:$B$52,MATCH($C467,'hp (pSv cm2)'!$A$2:$A$52,1)))/(INDEX('hp (pSv cm2)'!$A$2:$A$52,MATCH($C467,'hp (pSv cm2)'!$A$2:$A$52,1)+1)-INDEX('hp (pSv cm2)'!$A$2:$A$52,MATCH($C467,'hp (pSv cm2)'!$A$2:$A$52,1))),$C467*'hp (pSv cm2)'!$B$2/'hp (pSv cm2)'!$A$2)</f>
        <v>1.6144493799999999</v>
      </c>
      <c r="G467" s="67">
        <f t="shared" si="34"/>
        <v>1.9373392560000001E-2</v>
      </c>
      <c r="H467" s="83">
        <f>_xlfn.IFNA(0.997*(INDEX('Mass attenuation coefficients'!$B$2:$B$37,MATCH($C467,'Mass attenuation coefficients'!$A$2:$A$37,1))+($C467-INDEX('Mass attenuation coefficients'!$A$2:$A$37,MATCH($C467,'Mass attenuation coefficients'!$A$2:$A$37,1)))*(INDEX('Mass attenuation coefficients'!$B$2:$B$37,MATCH($C467,'Mass attenuation coefficients'!$A$2:$A$37,1)+1)-INDEX('Mass attenuation coefficients'!$B$2:$B$37,MATCH($C467,'Mass attenuation coefficients'!$A$2:$A$37,1)))/(INDEX('Mass attenuation coefficients'!$A$2:$A$37,MATCH($C467,'Mass attenuation coefficients'!$A$2:$A$37,1)+1)-INDEX('Mass attenuation coefficients'!$A$2:$A$37,MATCH($C467,'Mass attenuation coefficients'!$A$2:$A$37,1)))),0.997*$C467*'Mass attenuation coefficients'!$B$2/'Mass attenuation coefficients'!$A$2)</f>
        <v>0.115587668575</v>
      </c>
      <c r="I467" s="83">
        <f>_xlfn.IFNA(INDEX('Shultis Faw'!$C$2:$C$26,MATCH($C467,'Shultis Faw'!$A$2:$A$26,1))+($C467-INDEX('Shultis Faw'!$A$2:$A$26,MATCH($C467,'Shultis Faw'!$A$2:$A$26,1)))*(INDEX('Shultis Faw'!$C$2:$C$26,MATCH($C467,'Shultis Faw'!$A$2:$A$26,1)+1)-INDEX('Shultis Faw'!$C$2:$C$26,MATCH($C467,'Shultis Faw'!$A$2:$A$26,1)))/(INDEX('Shultis Faw'!$A$2:$A$26,MATCH($C467,'Shultis Faw'!$A$2:$A$26,1)+1)-INDEX('Shultis Faw'!$A$2:$A$26,MATCH($C467,'Shultis Faw'!$A$2:$A$26,1))),$C467*'Shultis Faw'!$C$2/'Shultis Faw'!$A$2)</f>
        <v>2.8645778800000001</v>
      </c>
      <c r="J467" s="83">
        <f>_xlfn.IFNA(INDEX('Shultis Faw'!$D$2:$D$26,MATCH($C467,'Shultis Faw'!$A$2:$A$26,1))+($C467-INDEX('Shultis Faw'!$A$2:$A$26,MATCH($C467,'Shultis Faw'!$A$2:$A$26,1)))*(INDEX('Shultis Faw'!$D$2:$D$26,MATCH($C467,'Shultis Faw'!$A$2:$A$26,1)+1)-INDEX('Shultis Faw'!$D$2:$D$26,MATCH($C467,'Shultis Faw'!$A$2:$A$26,1)))/(INDEX('Shultis Faw'!$A$2:$A$26,MATCH($C467,'Shultis Faw'!$A$2:$A$26,1)+1)-INDEX('Shultis Faw'!$A$2:$A$26,MATCH($C467,'Shultis Faw'!$A$2:$A$26,1))),$C467*'Shultis Faw'!$D$2/'Shultis Faw'!$A$2)</f>
        <v>1.9921573199999998</v>
      </c>
      <c r="K467" s="83">
        <f>_xlfn.IFNA(INDEX('Shultis Faw'!$B$2:$B$26,MATCH($C467,'Shultis Faw'!$A$2:$A$26,1))+($C467-INDEX('Shultis Faw'!$A$2:$A$26,MATCH($C467,'Shultis Faw'!$A$2:$A$26,1)))*(INDEX('Shultis Faw'!$B$2:$B$26,MATCH($C467,'Shultis Faw'!$A$2:$A$26,1)+1)-INDEX('Shultis Faw'!$B$2:$B$26,MATCH($C467,'Shultis Faw'!$A$2:$A$26,1)))/(INDEX('Shultis Faw'!$A$2:$A$26,MATCH($C467,'Shultis Faw'!$A$2:$A$26,1)+1)-INDEX('Shultis Faw'!$A$2:$A$26,MATCH($C467,'Shultis Faw'!$A$2:$A$26,1))),$C467*'Shultis Faw'!$B$2/'Shultis Faw'!$A$2)</f>
        <v>-0.16080257000000001</v>
      </c>
      <c r="L467" s="83">
        <f>_xlfn.IFNA(INDEX('Shultis Faw'!$E$2:$E$26,MATCH($C467,'Shultis Faw'!$A$2:$A$26,1))+($C467-INDEX('Shultis Faw'!$A$2:$A$26,MATCH($C467,'Shultis Faw'!$A$2:$A$26,1)))*(INDEX('Shultis Faw'!$E$2:$E$26,MATCH($C467,'Shultis Faw'!$A$2:$A$26,1)+1)-INDEX('Shultis Faw'!$E$2:$E$26,MATCH($C467,'Shultis Faw'!$A$2:$A$26,1)))/(INDEX('Shultis Faw'!$A$2:$A$26,MATCH($C467,'Shultis Faw'!$A$2:$A$26,1)+1)-INDEX('Shultis Faw'!$A$2:$A$26,MATCH($C467,'Shultis Faw'!$A$2:$A$26,1))),$C467*'Shultis Faw'!$E$2/'Shultis Faw'!$A$2)</f>
        <v>6.4221027999999999E-2</v>
      </c>
      <c r="M467" s="83">
        <f>_xlfn.IFNA(INDEX('Shultis Faw'!$F$2:$F$26,MATCH($C467,'Shultis Faw'!$A$2:$A$26,1))+($C467-INDEX('Shultis Faw'!$A$2:$A$26,MATCH($C467,'Shultis Faw'!$A$2:$A$26,1)))*(INDEX('Shultis Faw'!$F$2:$F$26,MATCH($C467,'Shultis Faw'!$A$2:$A$26,1)+1)-INDEX('Shultis Faw'!$F$2:$F$26,MATCH($C467,'Shultis Faw'!$A$2:$A$26,1)))/(INDEX('Shultis Faw'!$A$2:$A$26,MATCH($C467,'Shultis Faw'!$A$2:$A$26,1)+1)-INDEX('Shultis Faw'!$A$2:$A$26,MATCH($C467,'Shultis Faw'!$A$2:$A$26,1))),$C467*'Shultis Faw'!$F$2/'Shultis Faw'!$A$2)</f>
        <v>14.216394860000001</v>
      </c>
      <c r="N467" s="83">
        <f>J467*(H467*'Externe blootstelling'!$D$23/2)^K467+L467*(TANH(((H467*'Externe blootstelling'!$D$23)/(2*M467))-2)-TANH(-2))/(1-TANH(-2))</f>
        <v>1.8237570657290891</v>
      </c>
      <c r="O467" s="83">
        <f>IF(N467=1,1+(I467-1)*H467*'Externe blootstelling'!$D$23/2,1+(I467-1)*(N467^(H467*'Externe blootstelling'!$D$23/2)-1)/(N467-1))</f>
        <v>5.1522812908459894</v>
      </c>
      <c r="P467" s="67">
        <f>G467*EXP(-H467*'Externe blootstelling'!$D$23/2)*O467</f>
        <v>1.7628645500487136E-2</v>
      </c>
      <c r="Q467" s="68"/>
    </row>
    <row r="468" spans="1:17" x14ac:dyDescent="0.2">
      <c r="A468" s="217"/>
      <c r="B468" s="77"/>
      <c r="C468" s="66">
        <v>0.3276829</v>
      </c>
      <c r="D468" s="66">
        <f t="shared" si="33"/>
        <v>5.2429264000000004E-14</v>
      </c>
      <c r="E468" s="66">
        <v>0.18099999999999999</v>
      </c>
      <c r="F468" s="66">
        <f>_xlfn.IFNA(INDEX('hp (pSv cm2)'!$B$2:$B$52,MATCH($C468,'hp (pSv cm2)'!$A$2:$A$52,1))+($C468-INDEX('hp (pSv cm2)'!$A$2:$A$52,MATCH($C468,'hp (pSv cm2)'!$A$2:$A$52,1)))*(INDEX('hp (pSv cm2)'!$B$2:$B$52,MATCH($C468,'hp (pSv cm2)'!$A$2:$A$52,1)+1)-INDEX('hp (pSv cm2)'!$B$2:$B$52,MATCH($C468,'hp (pSv cm2)'!$A$2:$A$52,1)))/(INDEX('hp (pSv cm2)'!$A$2:$A$52,MATCH($C468,'hp (pSv cm2)'!$A$2:$A$52,1)+1)-INDEX('hp (pSv cm2)'!$A$2:$A$52,MATCH($C468,'hp (pSv cm2)'!$A$2:$A$52,1))),$C468*'hp (pSv cm2)'!$B$2/'hp (pSv cm2)'!$A$2)</f>
        <v>1.64564621</v>
      </c>
      <c r="G468" s="67">
        <f t="shared" si="34"/>
        <v>0.29786196400999998</v>
      </c>
      <c r="H468" s="83">
        <f>_xlfn.IFNA(0.997*(INDEX('Mass attenuation coefficients'!$B$2:$B$37,MATCH($C468,'Mass attenuation coefficients'!$A$2:$A$37,1))+($C468-INDEX('Mass attenuation coefficients'!$A$2:$A$37,MATCH($C468,'Mass attenuation coefficients'!$A$2:$A$37,1)))*(INDEX('Mass attenuation coefficients'!$B$2:$B$37,MATCH($C468,'Mass attenuation coefficients'!$A$2:$A$37,1)+1)-INDEX('Mass attenuation coefficients'!$B$2:$B$37,MATCH($C468,'Mass attenuation coefficients'!$A$2:$A$37,1)))/(INDEX('Mass attenuation coefficients'!$A$2:$A$37,MATCH($C468,'Mass attenuation coefficients'!$A$2:$A$37,1)+1)-INDEX('Mass attenuation coefficients'!$A$2:$A$37,MATCH($C468,'Mass attenuation coefficients'!$A$2:$A$37,1)))),0.997*$C468*'Mass attenuation coefficients'!$B$2/'Mass attenuation coefficients'!$A$2)</f>
        <v>0.1147942185875</v>
      </c>
      <c r="I468" s="83">
        <f>_xlfn.IFNA(INDEX('Shultis Faw'!$C$2:$C$26,MATCH($C468,'Shultis Faw'!$A$2:$A$26,1))+($C468-INDEX('Shultis Faw'!$A$2:$A$26,MATCH($C468,'Shultis Faw'!$A$2:$A$26,1)))*(INDEX('Shultis Faw'!$C$2:$C$26,MATCH($C468,'Shultis Faw'!$A$2:$A$26,1)+1)-INDEX('Shultis Faw'!$C$2:$C$26,MATCH($C468,'Shultis Faw'!$A$2:$A$26,1)))/(INDEX('Shultis Faw'!$A$2:$A$26,MATCH($C468,'Shultis Faw'!$A$2:$A$26,1)+1)-INDEX('Shultis Faw'!$A$2:$A$26,MATCH($C468,'Shultis Faw'!$A$2:$A$26,1))),$C468*'Shultis Faw'!$C$2/'Shultis Faw'!$A$2)</f>
        <v>2.84802446</v>
      </c>
      <c r="J468" s="83">
        <f>_xlfn.IFNA(INDEX('Shultis Faw'!$D$2:$D$26,MATCH($C468,'Shultis Faw'!$A$2:$A$26,1))+($C468-INDEX('Shultis Faw'!$A$2:$A$26,MATCH($C468,'Shultis Faw'!$A$2:$A$26,1)))*(INDEX('Shultis Faw'!$D$2:$D$26,MATCH($C468,'Shultis Faw'!$A$2:$A$26,1)+1)-INDEX('Shultis Faw'!$D$2:$D$26,MATCH($C468,'Shultis Faw'!$A$2:$A$26,1)))/(INDEX('Shultis Faw'!$A$2:$A$26,MATCH($C468,'Shultis Faw'!$A$2:$A$26,1)+1)-INDEX('Shultis Faw'!$A$2:$A$26,MATCH($C468,'Shultis Faw'!$A$2:$A$26,1))),$C468*'Shultis Faw'!$D$2/'Shultis Faw'!$A$2)</f>
        <v>1.9832439399999999</v>
      </c>
      <c r="K468" s="83">
        <f>_xlfn.IFNA(INDEX('Shultis Faw'!$B$2:$B$26,MATCH($C468,'Shultis Faw'!$A$2:$A$26,1))+($C468-INDEX('Shultis Faw'!$A$2:$A$26,MATCH($C468,'Shultis Faw'!$A$2:$A$26,1)))*(INDEX('Shultis Faw'!$B$2:$B$26,MATCH($C468,'Shultis Faw'!$A$2:$A$26,1)+1)-INDEX('Shultis Faw'!$B$2:$B$26,MATCH($C468,'Shultis Faw'!$A$2:$A$26,1)))/(INDEX('Shultis Faw'!$A$2:$A$26,MATCH($C468,'Shultis Faw'!$A$2:$A$26,1)+1)-INDEX('Shultis Faw'!$A$2:$A$26,MATCH($C468,'Shultis Faw'!$A$2:$A$26,1))),$C468*'Shultis Faw'!$B$2/'Shultis Faw'!$A$2)</f>
        <v>-0.159847565</v>
      </c>
      <c r="L468" s="83">
        <f>_xlfn.IFNA(INDEX('Shultis Faw'!$E$2:$E$26,MATCH($C468,'Shultis Faw'!$A$2:$A$26,1))+($C468-INDEX('Shultis Faw'!$A$2:$A$26,MATCH($C468,'Shultis Faw'!$A$2:$A$26,1)))*(INDEX('Shultis Faw'!$E$2:$E$26,MATCH($C468,'Shultis Faw'!$A$2:$A$26,1)+1)-INDEX('Shultis Faw'!$E$2:$E$26,MATCH($C468,'Shultis Faw'!$A$2:$A$26,1)))/(INDEX('Shultis Faw'!$A$2:$A$26,MATCH($C468,'Shultis Faw'!$A$2:$A$26,1)+1)-INDEX('Shultis Faw'!$A$2:$A$26,MATCH($C468,'Shultis Faw'!$A$2:$A$26,1))),$C468*'Shultis Faw'!$E$2/'Shultis Faw'!$A$2)</f>
        <v>6.3839026000000007E-2</v>
      </c>
      <c r="M468" s="83">
        <f>_xlfn.IFNA(INDEX('Shultis Faw'!$F$2:$F$26,MATCH($C468,'Shultis Faw'!$A$2:$A$26,1))+($C468-INDEX('Shultis Faw'!$A$2:$A$26,MATCH($C468,'Shultis Faw'!$A$2:$A$26,1)))*(INDEX('Shultis Faw'!$F$2:$F$26,MATCH($C468,'Shultis Faw'!$A$2:$A$26,1)+1)-INDEX('Shultis Faw'!$F$2:$F$26,MATCH($C468,'Shultis Faw'!$A$2:$A$26,1)))/(INDEX('Shultis Faw'!$A$2:$A$26,MATCH($C468,'Shultis Faw'!$A$2:$A$26,1)+1)-INDEX('Shultis Faw'!$A$2:$A$26,MATCH($C468,'Shultis Faw'!$A$2:$A$26,1))),$C468*'Shultis Faw'!$F$2/'Shultis Faw'!$A$2)</f>
        <v>14.218304870000001</v>
      </c>
      <c r="N468" s="83">
        <f>J468*(H468*'Externe blootstelling'!$D$23/2)^K468+L468*(TANH(((H468*'Externe blootstelling'!$D$23)/(2*M468))-2)-TANH(-2))/(1-TANH(-2))</f>
        <v>1.8185493756888154</v>
      </c>
      <c r="O468" s="83">
        <f>IF(N468=1,1+(I468-1)*H468*'Externe blootstelling'!$D$23/2,1+(I468-1)*(N468^(H468*'Externe blootstelling'!$D$23/2)-1)/(N468-1))</f>
        <v>5.0647898535256122</v>
      </c>
      <c r="P468" s="67">
        <f>G468*EXP(-H468*'Externe blootstelling'!$D$23/2)*O468</f>
        <v>0.26962430829508405</v>
      </c>
      <c r="Q468" s="68"/>
    </row>
    <row r="469" spans="1:17" x14ac:dyDescent="0.2">
      <c r="A469" s="217"/>
      <c r="B469" s="77"/>
      <c r="C469" s="66">
        <v>0.34164319999999998</v>
      </c>
      <c r="D469" s="66">
        <f t="shared" si="33"/>
        <v>5.4662911999999991E-14</v>
      </c>
      <c r="E469" s="66">
        <v>1.6899999999999998E-2</v>
      </c>
      <c r="F469" s="66">
        <f>_xlfn.IFNA(INDEX('hp (pSv cm2)'!$B$2:$B$52,MATCH($C469,'hp (pSv cm2)'!$A$2:$A$52,1))+($C469-INDEX('hp (pSv cm2)'!$A$2:$A$52,MATCH($C469,'hp (pSv cm2)'!$A$2:$A$52,1)))*(INDEX('hp (pSv cm2)'!$B$2:$B$52,MATCH($C469,'hp (pSv cm2)'!$A$2:$A$52,1)+1)-INDEX('hp (pSv cm2)'!$B$2:$B$52,MATCH($C469,'hp (pSv cm2)'!$A$2:$A$52,1)))/(INDEX('hp (pSv cm2)'!$A$2:$A$52,MATCH($C469,'hp (pSv cm2)'!$A$2:$A$52,1)+1)-INDEX('hp (pSv cm2)'!$A$2:$A$52,MATCH($C469,'hp (pSv cm2)'!$A$2:$A$52,1))),$C469*'hp (pSv cm2)'!$B$2/'hp (pSv cm2)'!$A$2)</f>
        <v>1.7140516799999999</v>
      </c>
      <c r="G469" s="67">
        <f t="shared" si="34"/>
        <v>2.8967473391999995E-2</v>
      </c>
      <c r="H469" s="83">
        <f>_xlfn.IFNA(0.997*(INDEX('Mass attenuation coefficients'!$B$2:$B$37,MATCH($C469,'Mass attenuation coefficients'!$A$2:$A$37,1))+($C469-INDEX('Mass attenuation coefficients'!$A$2:$A$37,MATCH($C469,'Mass attenuation coefficients'!$A$2:$A$37,1)))*(INDEX('Mass attenuation coefficients'!$B$2:$B$37,MATCH($C469,'Mass attenuation coefficients'!$A$2:$A$37,1)+1)-INDEX('Mass attenuation coefficients'!$B$2:$B$37,MATCH($C469,'Mass attenuation coefficients'!$A$2:$A$37,1)))/(INDEX('Mass attenuation coefficients'!$A$2:$A$37,MATCH($C469,'Mass attenuation coefficients'!$A$2:$A$37,1)+1)-INDEX('Mass attenuation coefficients'!$A$2:$A$37,MATCH($C469,'Mass attenuation coefficients'!$A$2:$A$37,1)))),0.997*$C469*'Mass attenuation coefficients'!$B$2/'Mass attenuation coefficients'!$A$2)</f>
        <v>0.11305441619999999</v>
      </c>
      <c r="I469" s="83">
        <f>_xlfn.IFNA(INDEX('Shultis Faw'!$C$2:$C$26,MATCH($C469,'Shultis Faw'!$A$2:$A$26,1))+($C469-INDEX('Shultis Faw'!$A$2:$A$26,MATCH($C469,'Shultis Faw'!$A$2:$A$26,1)))*(INDEX('Shultis Faw'!$C$2:$C$26,MATCH($C469,'Shultis Faw'!$A$2:$A$26,1)+1)-INDEX('Shultis Faw'!$C$2:$C$26,MATCH($C469,'Shultis Faw'!$A$2:$A$26,1)))/(INDEX('Shultis Faw'!$A$2:$A$26,MATCH($C469,'Shultis Faw'!$A$2:$A$26,1)+1)-INDEX('Shultis Faw'!$A$2:$A$26,MATCH($C469,'Shultis Faw'!$A$2:$A$26,1))),$C469*'Shultis Faw'!$C$2/'Shultis Faw'!$A$2)</f>
        <v>2.8117276800000002</v>
      </c>
      <c r="J469" s="83">
        <f>_xlfn.IFNA(INDEX('Shultis Faw'!$D$2:$D$26,MATCH($C469,'Shultis Faw'!$A$2:$A$26,1))+($C469-INDEX('Shultis Faw'!$A$2:$A$26,MATCH($C469,'Shultis Faw'!$A$2:$A$26,1)))*(INDEX('Shultis Faw'!$D$2:$D$26,MATCH($C469,'Shultis Faw'!$A$2:$A$26,1)+1)-INDEX('Shultis Faw'!$D$2:$D$26,MATCH($C469,'Shultis Faw'!$A$2:$A$26,1)))/(INDEX('Shultis Faw'!$A$2:$A$26,MATCH($C469,'Shultis Faw'!$A$2:$A$26,1)+1)-INDEX('Shultis Faw'!$A$2:$A$26,MATCH($C469,'Shultis Faw'!$A$2:$A$26,1))),$C469*'Shultis Faw'!$D$2/'Shultis Faw'!$A$2)</f>
        <v>1.9636995199999998</v>
      </c>
      <c r="K469" s="83">
        <f>_xlfn.IFNA(INDEX('Shultis Faw'!$B$2:$B$26,MATCH($C469,'Shultis Faw'!$A$2:$A$26,1))+($C469-INDEX('Shultis Faw'!$A$2:$A$26,MATCH($C469,'Shultis Faw'!$A$2:$A$26,1)))*(INDEX('Shultis Faw'!$B$2:$B$26,MATCH($C469,'Shultis Faw'!$A$2:$A$26,1)+1)-INDEX('Shultis Faw'!$B$2:$B$26,MATCH($C469,'Shultis Faw'!$A$2:$A$26,1)))/(INDEX('Shultis Faw'!$A$2:$A$26,MATCH($C469,'Shultis Faw'!$A$2:$A$26,1)+1)-INDEX('Shultis Faw'!$A$2:$A$26,MATCH($C469,'Shultis Faw'!$A$2:$A$26,1))),$C469*'Shultis Faw'!$B$2/'Shultis Faw'!$A$2)</f>
        <v>-0.15775352000000001</v>
      </c>
      <c r="L469" s="83">
        <f>_xlfn.IFNA(INDEX('Shultis Faw'!$E$2:$E$26,MATCH($C469,'Shultis Faw'!$A$2:$A$26,1))+($C469-INDEX('Shultis Faw'!$A$2:$A$26,MATCH($C469,'Shultis Faw'!$A$2:$A$26,1)))*(INDEX('Shultis Faw'!$E$2:$E$26,MATCH($C469,'Shultis Faw'!$A$2:$A$26,1)+1)-INDEX('Shultis Faw'!$E$2:$E$26,MATCH($C469,'Shultis Faw'!$A$2:$A$26,1)))/(INDEX('Shultis Faw'!$A$2:$A$26,MATCH($C469,'Shultis Faw'!$A$2:$A$26,1)+1)-INDEX('Shultis Faw'!$A$2:$A$26,MATCH($C469,'Shultis Faw'!$A$2:$A$26,1))),$C469*'Shultis Faw'!$E$2/'Shultis Faw'!$A$2)</f>
        <v>6.3001408000000009E-2</v>
      </c>
      <c r="M469" s="83">
        <f>_xlfn.IFNA(INDEX('Shultis Faw'!$F$2:$F$26,MATCH($C469,'Shultis Faw'!$A$2:$A$26,1))+($C469-INDEX('Shultis Faw'!$A$2:$A$26,MATCH($C469,'Shultis Faw'!$A$2:$A$26,1)))*(INDEX('Shultis Faw'!$F$2:$F$26,MATCH($C469,'Shultis Faw'!$A$2:$A$26,1)+1)-INDEX('Shultis Faw'!$F$2:$F$26,MATCH($C469,'Shultis Faw'!$A$2:$A$26,1)))/(INDEX('Shultis Faw'!$A$2:$A$26,MATCH($C469,'Shultis Faw'!$A$2:$A$26,1)+1)-INDEX('Shultis Faw'!$A$2:$A$26,MATCH($C469,'Shultis Faw'!$A$2:$A$26,1))),$C469*'Shultis Faw'!$F$2/'Shultis Faw'!$A$2)</f>
        <v>14.22249296</v>
      </c>
      <c r="N469" s="83">
        <f>J469*(H469*'Externe blootstelling'!$D$23/2)^K469+L469*(TANH(((H469*'Externe blootstelling'!$D$23)/(2*M469))-2)-TANH(-2))/(1-TANH(-2))</f>
        <v>1.8070189936809053</v>
      </c>
      <c r="O469" s="83">
        <f>IF(N469=1,1+(I469-1)*H469*'Externe blootstelling'!$D$23/2,1+(I469-1)*(N469^(H469*'Externe blootstelling'!$D$23/2)-1)/(N469-1))</f>
        <v>4.8781281208017475</v>
      </c>
      <c r="P469" s="67">
        <f>G469*EXP(-H469*'Externe blootstelling'!$D$23/2)*O469</f>
        <v>2.5922696943507986E-2</v>
      </c>
      <c r="Q469" s="68"/>
    </row>
    <row r="470" spans="1:17" x14ac:dyDescent="0.2">
      <c r="A470" s="217"/>
      <c r="B470" s="77"/>
      <c r="C470" s="66">
        <v>0.36741760000000001</v>
      </c>
      <c r="D470" s="66">
        <f t="shared" si="33"/>
        <v>5.8786816E-14</v>
      </c>
      <c r="E470" s="66">
        <v>3.15E-2</v>
      </c>
      <c r="F470" s="66">
        <f>_xlfn.IFNA(INDEX('hp (pSv cm2)'!$B$2:$B$52,MATCH($C470,'hp (pSv cm2)'!$A$2:$A$52,1))+($C470-INDEX('hp (pSv cm2)'!$A$2:$A$52,MATCH($C470,'hp (pSv cm2)'!$A$2:$A$52,1)))*(INDEX('hp (pSv cm2)'!$B$2:$B$52,MATCH($C470,'hp (pSv cm2)'!$A$2:$A$52,1)+1)-INDEX('hp (pSv cm2)'!$B$2:$B$52,MATCH($C470,'hp (pSv cm2)'!$A$2:$A$52,1)))/(INDEX('hp (pSv cm2)'!$A$2:$A$52,MATCH($C470,'hp (pSv cm2)'!$A$2:$A$52,1)+1)-INDEX('hp (pSv cm2)'!$A$2:$A$52,MATCH($C470,'hp (pSv cm2)'!$A$2:$A$52,1))),$C470*'hp (pSv cm2)'!$B$2/'hp (pSv cm2)'!$A$2)</f>
        <v>1.8403462400000001</v>
      </c>
      <c r="G470" s="67">
        <f t="shared" si="34"/>
        <v>5.7970906560000007E-2</v>
      </c>
      <c r="H470" s="83">
        <f>_xlfn.IFNA(0.997*(INDEX('Mass attenuation coefficients'!$B$2:$B$37,MATCH($C470,'Mass attenuation coefficients'!$A$2:$A$37,1))+($C470-INDEX('Mass attenuation coefficients'!$A$2:$A$37,MATCH($C470,'Mass attenuation coefficients'!$A$2:$A$37,1)))*(INDEX('Mass attenuation coefficients'!$B$2:$B$37,MATCH($C470,'Mass attenuation coefficients'!$A$2:$A$37,1)+1)-INDEX('Mass attenuation coefficients'!$B$2:$B$37,MATCH($C470,'Mass attenuation coefficients'!$A$2:$A$37,1)))/(INDEX('Mass attenuation coefficients'!$A$2:$A$37,MATCH($C470,'Mass attenuation coefficients'!$A$2:$A$37,1)+1)-INDEX('Mass attenuation coefficients'!$A$2:$A$37,MATCH($C470,'Mass attenuation coefficients'!$A$2:$A$37,1)))),0.997*$C470*'Mass attenuation coefficients'!$B$2/'Mass attenuation coefficients'!$A$2)</f>
        <v>0.10984228159999999</v>
      </c>
      <c r="I470" s="83">
        <f>_xlfn.IFNA(INDEX('Shultis Faw'!$C$2:$C$26,MATCH($C470,'Shultis Faw'!$A$2:$A$26,1))+($C470-INDEX('Shultis Faw'!$A$2:$A$26,MATCH($C470,'Shultis Faw'!$A$2:$A$26,1)))*(INDEX('Shultis Faw'!$C$2:$C$26,MATCH($C470,'Shultis Faw'!$A$2:$A$26,1)+1)-INDEX('Shultis Faw'!$C$2:$C$26,MATCH($C470,'Shultis Faw'!$A$2:$A$26,1)))/(INDEX('Shultis Faw'!$A$2:$A$26,MATCH($C470,'Shultis Faw'!$A$2:$A$26,1)+1)-INDEX('Shultis Faw'!$A$2:$A$26,MATCH($C470,'Shultis Faw'!$A$2:$A$26,1))),$C470*'Shultis Faw'!$C$2/'Shultis Faw'!$A$2)</f>
        <v>2.74471424</v>
      </c>
      <c r="J470" s="83">
        <f>_xlfn.IFNA(INDEX('Shultis Faw'!$D$2:$D$26,MATCH($C470,'Shultis Faw'!$A$2:$A$26,1))+($C470-INDEX('Shultis Faw'!$A$2:$A$26,MATCH($C470,'Shultis Faw'!$A$2:$A$26,1)))*(INDEX('Shultis Faw'!$D$2:$D$26,MATCH($C470,'Shultis Faw'!$A$2:$A$26,1)+1)-INDEX('Shultis Faw'!$D$2:$D$26,MATCH($C470,'Shultis Faw'!$A$2:$A$26,1)))/(INDEX('Shultis Faw'!$A$2:$A$26,MATCH($C470,'Shultis Faw'!$A$2:$A$26,1)+1)-INDEX('Shultis Faw'!$A$2:$A$26,MATCH($C470,'Shultis Faw'!$A$2:$A$26,1))),$C470*'Shultis Faw'!$D$2/'Shultis Faw'!$A$2)</f>
        <v>1.9276153599999999</v>
      </c>
      <c r="K470" s="83">
        <f>_xlfn.IFNA(INDEX('Shultis Faw'!$B$2:$B$26,MATCH($C470,'Shultis Faw'!$A$2:$A$26,1))+($C470-INDEX('Shultis Faw'!$A$2:$A$26,MATCH($C470,'Shultis Faw'!$A$2:$A$26,1)))*(INDEX('Shultis Faw'!$B$2:$B$26,MATCH($C470,'Shultis Faw'!$A$2:$A$26,1)+1)-INDEX('Shultis Faw'!$B$2:$B$26,MATCH($C470,'Shultis Faw'!$A$2:$A$26,1)))/(INDEX('Shultis Faw'!$A$2:$A$26,MATCH($C470,'Shultis Faw'!$A$2:$A$26,1)+1)-INDEX('Shultis Faw'!$A$2:$A$26,MATCH($C470,'Shultis Faw'!$A$2:$A$26,1))),$C470*'Shultis Faw'!$B$2/'Shultis Faw'!$A$2)</f>
        <v>-0.15388736</v>
      </c>
      <c r="L470" s="83">
        <f>_xlfn.IFNA(INDEX('Shultis Faw'!$E$2:$E$26,MATCH($C470,'Shultis Faw'!$A$2:$A$26,1))+($C470-INDEX('Shultis Faw'!$A$2:$A$26,MATCH($C470,'Shultis Faw'!$A$2:$A$26,1)))*(INDEX('Shultis Faw'!$E$2:$E$26,MATCH($C470,'Shultis Faw'!$A$2:$A$26,1)+1)-INDEX('Shultis Faw'!$E$2:$E$26,MATCH($C470,'Shultis Faw'!$A$2:$A$26,1)))/(INDEX('Shultis Faw'!$A$2:$A$26,MATCH($C470,'Shultis Faw'!$A$2:$A$26,1)+1)-INDEX('Shultis Faw'!$A$2:$A$26,MATCH($C470,'Shultis Faw'!$A$2:$A$26,1))),$C470*'Shultis Faw'!$E$2/'Shultis Faw'!$A$2)</f>
        <v>6.1454943999999997E-2</v>
      </c>
      <c r="M470" s="83">
        <f>_xlfn.IFNA(INDEX('Shultis Faw'!$F$2:$F$26,MATCH($C470,'Shultis Faw'!$A$2:$A$26,1))+($C470-INDEX('Shultis Faw'!$A$2:$A$26,MATCH($C470,'Shultis Faw'!$A$2:$A$26,1)))*(INDEX('Shultis Faw'!$F$2:$F$26,MATCH($C470,'Shultis Faw'!$A$2:$A$26,1)+1)-INDEX('Shultis Faw'!$F$2:$F$26,MATCH($C470,'Shultis Faw'!$A$2:$A$26,1)))/(INDEX('Shultis Faw'!$A$2:$A$26,MATCH($C470,'Shultis Faw'!$A$2:$A$26,1)+1)-INDEX('Shultis Faw'!$A$2:$A$26,MATCH($C470,'Shultis Faw'!$A$2:$A$26,1))),$C470*'Shultis Faw'!$F$2/'Shultis Faw'!$A$2)</f>
        <v>14.230225280000001</v>
      </c>
      <c r="N470" s="83">
        <f>J470*(H470*'Externe blootstelling'!$D$23/2)^K470+L470*(TANH(((H470*'Externe blootstelling'!$D$23)/(2*M470))-2)-TANH(-2))/(1-TANH(-2))</f>
        <v>1.7853278697241548</v>
      </c>
      <c r="O470" s="83">
        <f>IF(N470=1,1+(I470-1)*H470*'Externe blootstelling'!$D$23/2,1+(I470-1)*(N470^(H470*'Externe blootstelling'!$D$23/2)-1)/(N470-1))</f>
        <v>4.5515069491761686</v>
      </c>
      <c r="P470" s="67">
        <f>G470*EXP(-H470*'Externe blootstelling'!$D$23/2)*O470</f>
        <v>5.0793349233500623E-2</v>
      </c>
      <c r="Q470" s="68"/>
    </row>
    <row r="471" spans="1:17" x14ac:dyDescent="0.2">
      <c r="A471" s="217"/>
      <c r="B471" s="77"/>
      <c r="C471" s="66">
        <v>0.37850290000000003</v>
      </c>
      <c r="D471" s="66">
        <f t="shared" si="33"/>
        <v>6.0560464000000001E-14</v>
      </c>
      <c r="E471" s="66">
        <v>0.29699999999999999</v>
      </c>
      <c r="F471" s="66">
        <f>_xlfn.IFNA(INDEX('hp (pSv cm2)'!$B$2:$B$52,MATCH($C471,'hp (pSv cm2)'!$A$2:$A$52,1))+($C471-INDEX('hp (pSv cm2)'!$A$2:$A$52,MATCH($C471,'hp (pSv cm2)'!$A$2:$A$52,1)))*(INDEX('hp (pSv cm2)'!$B$2:$B$52,MATCH($C471,'hp (pSv cm2)'!$A$2:$A$52,1)+1)-INDEX('hp (pSv cm2)'!$B$2:$B$52,MATCH($C471,'hp (pSv cm2)'!$A$2:$A$52,1)))/(INDEX('hp (pSv cm2)'!$A$2:$A$52,MATCH($C471,'hp (pSv cm2)'!$A$2:$A$52,1)+1)-INDEX('hp (pSv cm2)'!$A$2:$A$52,MATCH($C471,'hp (pSv cm2)'!$A$2:$A$52,1))),$C471*'hp (pSv cm2)'!$B$2/'hp (pSv cm2)'!$A$2)</f>
        <v>1.8946642100000002</v>
      </c>
      <c r="G471" s="67">
        <f t="shared" si="34"/>
        <v>0.56271527037000002</v>
      </c>
      <c r="H471" s="83">
        <f>_xlfn.IFNA(0.997*(INDEX('Mass attenuation coefficients'!$B$2:$B$37,MATCH($C471,'Mass attenuation coefficients'!$A$2:$A$37,1))+($C471-INDEX('Mass attenuation coefficients'!$A$2:$A$37,MATCH($C471,'Mass attenuation coefficients'!$A$2:$A$37,1)))*(INDEX('Mass attenuation coefficients'!$B$2:$B$37,MATCH($C471,'Mass attenuation coefficients'!$A$2:$A$37,1)+1)-INDEX('Mass attenuation coefficients'!$B$2:$B$37,MATCH($C471,'Mass attenuation coefficients'!$A$2:$A$37,1)))/(INDEX('Mass attenuation coefficients'!$A$2:$A$37,MATCH($C471,'Mass attenuation coefficients'!$A$2:$A$37,1)+1)-INDEX('Mass attenuation coefficients'!$A$2:$A$37,MATCH($C471,'Mass attenuation coefficients'!$A$2:$A$37,1)))),0.997*$C471*'Mass attenuation coefficients'!$B$2/'Mass attenuation coefficients'!$A$2)</f>
        <v>0.10846077608749999</v>
      </c>
      <c r="I471" s="83">
        <f>_xlfn.IFNA(INDEX('Shultis Faw'!$C$2:$C$26,MATCH($C471,'Shultis Faw'!$A$2:$A$26,1))+($C471-INDEX('Shultis Faw'!$A$2:$A$26,MATCH($C471,'Shultis Faw'!$A$2:$A$26,1)))*(INDEX('Shultis Faw'!$C$2:$C$26,MATCH($C471,'Shultis Faw'!$A$2:$A$26,1)+1)-INDEX('Shultis Faw'!$C$2:$C$26,MATCH($C471,'Shultis Faw'!$A$2:$A$26,1)))/(INDEX('Shultis Faw'!$A$2:$A$26,MATCH($C471,'Shultis Faw'!$A$2:$A$26,1)+1)-INDEX('Shultis Faw'!$A$2:$A$26,MATCH($C471,'Shultis Faw'!$A$2:$A$26,1))),$C471*'Shultis Faw'!$C$2/'Shultis Faw'!$A$2)</f>
        <v>2.7158924600000001</v>
      </c>
      <c r="J471" s="83">
        <f>_xlfn.IFNA(INDEX('Shultis Faw'!$D$2:$D$26,MATCH($C471,'Shultis Faw'!$A$2:$A$26,1))+($C471-INDEX('Shultis Faw'!$A$2:$A$26,MATCH($C471,'Shultis Faw'!$A$2:$A$26,1)))*(INDEX('Shultis Faw'!$D$2:$D$26,MATCH($C471,'Shultis Faw'!$A$2:$A$26,1)+1)-INDEX('Shultis Faw'!$D$2:$D$26,MATCH($C471,'Shultis Faw'!$A$2:$A$26,1)))/(INDEX('Shultis Faw'!$A$2:$A$26,MATCH($C471,'Shultis Faw'!$A$2:$A$26,1)+1)-INDEX('Shultis Faw'!$A$2:$A$26,MATCH($C471,'Shultis Faw'!$A$2:$A$26,1))),$C471*'Shultis Faw'!$D$2/'Shultis Faw'!$A$2)</f>
        <v>1.9120959399999999</v>
      </c>
      <c r="K471" s="83">
        <f>_xlfn.IFNA(INDEX('Shultis Faw'!$B$2:$B$26,MATCH($C471,'Shultis Faw'!$A$2:$A$26,1))+($C471-INDEX('Shultis Faw'!$A$2:$A$26,MATCH($C471,'Shultis Faw'!$A$2:$A$26,1)))*(INDEX('Shultis Faw'!$B$2:$B$26,MATCH($C471,'Shultis Faw'!$A$2:$A$26,1)+1)-INDEX('Shultis Faw'!$B$2:$B$26,MATCH($C471,'Shultis Faw'!$A$2:$A$26,1)))/(INDEX('Shultis Faw'!$A$2:$A$26,MATCH($C471,'Shultis Faw'!$A$2:$A$26,1)+1)-INDEX('Shultis Faw'!$A$2:$A$26,MATCH($C471,'Shultis Faw'!$A$2:$A$26,1))),$C471*'Shultis Faw'!$B$2/'Shultis Faw'!$A$2)</f>
        <v>-0.15222456500000001</v>
      </c>
      <c r="L471" s="83">
        <f>_xlfn.IFNA(INDEX('Shultis Faw'!$E$2:$E$26,MATCH($C471,'Shultis Faw'!$A$2:$A$26,1))+($C471-INDEX('Shultis Faw'!$A$2:$A$26,MATCH($C471,'Shultis Faw'!$A$2:$A$26,1)))*(INDEX('Shultis Faw'!$E$2:$E$26,MATCH($C471,'Shultis Faw'!$A$2:$A$26,1)+1)-INDEX('Shultis Faw'!$E$2:$E$26,MATCH($C471,'Shultis Faw'!$A$2:$A$26,1)))/(INDEX('Shultis Faw'!$A$2:$A$26,MATCH($C471,'Shultis Faw'!$A$2:$A$26,1)+1)-INDEX('Shultis Faw'!$A$2:$A$26,MATCH($C471,'Shultis Faw'!$A$2:$A$26,1))),$C471*'Shultis Faw'!$E$2/'Shultis Faw'!$A$2)</f>
        <v>6.0789825999999998E-2</v>
      </c>
      <c r="M471" s="83">
        <f>_xlfn.IFNA(INDEX('Shultis Faw'!$F$2:$F$26,MATCH($C471,'Shultis Faw'!$A$2:$A$26,1))+($C471-INDEX('Shultis Faw'!$A$2:$A$26,MATCH($C471,'Shultis Faw'!$A$2:$A$26,1)))*(INDEX('Shultis Faw'!$F$2:$F$26,MATCH($C471,'Shultis Faw'!$A$2:$A$26,1)+1)-INDEX('Shultis Faw'!$F$2:$F$26,MATCH($C471,'Shultis Faw'!$A$2:$A$26,1)))/(INDEX('Shultis Faw'!$A$2:$A$26,MATCH($C471,'Shultis Faw'!$A$2:$A$26,1)+1)-INDEX('Shultis Faw'!$A$2:$A$26,MATCH($C471,'Shultis Faw'!$A$2:$A$26,1))),$C471*'Shultis Faw'!$F$2/'Shultis Faw'!$A$2)</f>
        <v>14.23355087</v>
      </c>
      <c r="N471" s="83">
        <f>J471*(H471*'Externe blootstelling'!$D$23/2)^K471+L471*(TANH(((H471*'Externe blootstelling'!$D$23)/(2*M471))-2)-TANH(-2))/(1-TANH(-2))</f>
        <v>1.7758376488961019</v>
      </c>
      <c r="O471" s="83">
        <f>IF(N471=1,1+(I471-1)*H471*'Externe blootstelling'!$D$23/2,1+(I471-1)*(N471^(H471*'Externe blootstelling'!$D$23/2)-1)/(N471-1))</f>
        <v>4.4179193645535779</v>
      </c>
      <c r="P471" s="67">
        <f>G471*EXP(-H471*'Externe blootstelling'!$D$23/2)*O471</f>
        <v>0.48859355876486138</v>
      </c>
      <c r="Q471" s="68"/>
    </row>
    <row r="472" spans="1:17" x14ac:dyDescent="0.2">
      <c r="A472" s="217"/>
      <c r="B472" s="77"/>
      <c r="C472" s="66">
        <v>0.38503039999999999</v>
      </c>
      <c r="D472" s="66">
        <f t="shared" si="33"/>
        <v>6.1604864000000005E-14</v>
      </c>
      <c r="E472" s="66">
        <v>3.1300000000000001E-2</v>
      </c>
      <c r="F472" s="66">
        <f>_xlfn.IFNA(INDEX('hp (pSv cm2)'!$B$2:$B$52,MATCH($C472,'hp (pSv cm2)'!$A$2:$A$52,1))+($C472-INDEX('hp (pSv cm2)'!$A$2:$A$52,MATCH($C472,'hp (pSv cm2)'!$A$2:$A$52,1)))*(INDEX('hp (pSv cm2)'!$B$2:$B$52,MATCH($C472,'hp (pSv cm2)'!$A$2:$A$52,1)+1)-INDEX('hp (pSv cm2)'!$B$2:$B$52,MATCH($C472,'hp (pSv cm2)'!$A$2:$A$52,1)))/(INDEX('hp (pSv cm2)'!$A$2:$A$52,MATCH($C472,'hp (pSv cm2)'!$A$2:$A$52,1)+1)-INDEX('hp (pSv cm2)'!$A$2:$A$52,MATCH($C472,'hp (pSv cm2)'!$A$2:$A$52,1))),$C472*'hp (pSv cm2)'!$B$2/'hp (pSv cm2)'!$A$2)</f>
        <v>1.9266489599999999</v>
      </c>
      <c r="G472" s="67">
        <f t="shared" si="34"/>
        <v>6.0304112447999998E-2</v>
      </c>
      <c r="H472" s="83">
        <f>_xlfn.IFNA(0.997*(INDEX('Mass attenuation coefficients'!$B$2:$B$37,MATCH($C472,'Mass attenuation coefficients'!$A$2:$A$37,1))+($C472-INDEX('Mass attenuation coefficients'!$A$2:$A$37,MATCH($C472,'Mass attenuation coefficients'!$A$2:$A$37,1)))*(INDEX('Mass attenuation coefficients'!$B$2:$B$37,MATCH($C472,'Mass attenuation coefficients'!$A$2:$A$37,1)+1)-INDEX('Mass attenuation coefficients'!$B$2:$B$37,MATCH($C472,'Mass attenuation coefficients'!$A$2:$A$37,1)))/(INDEX('Mass attenuation coefficients'!$A$2:$A$37,MATCH($C472,'Mass attenuation coefficients'!$A$2:$A$37,1)+1)-INDEX('Mass attenuation coefficients'!$A$2:$A$37,MATCH($C472,'Mass attenuation coefficients'!$A$2:$A$37,1)))),0.997*$C472*'Mass attenuation coefficients'!$B$2/'Mass attenuation coefficients'!$A$2)</f>
        <v>0.1076472864</v>
      </c>
      <c r="I472" s="83">
        <f>_xlfn.IFNA(INDEX('Shultis Faw'!$C$2:$C$26,MATCH($C472,'Shultis Faw'!$A$2:$A$26,1))+($C472-INDEX('Shultis Faw'!$A$2:$A$26,MATCH($C472,'Shultis Faw'!$A$2:$A$26,1)))*(INDEX('Shultis Faw'!$C$2:$C$26,MATCH($C472,'Shultis Faw'!$A$2:$A$26,1)+1)-INDEX('Shultis Faw'!$C$2:$C$26,MATCH($C472,'Shultis Faw'!$A$2:$A$26,1)))/(INDEX('Shultis Faw'!$A$2:$A$26,MATCH($C472,'Shultis Faw'!$A$2:$A$26,1)+1)-INDEX('Shultis Faw'!$A$2:$A$26,MATCH($C472,'Shultis Faw'!$A$2:$A$26,1))),$C472*'Shultis Faw'!$C$2/'Shultis Faw'!$A$2)</f>
        <v>2.6989209600000001</v>
      </c>
      <c r="J472" s="83">
        <f>_xlfn.IFNA(INDEX('Shultis Faw'!$D$2:$D$26,MATCH($C472,'Shultis Faw'!$A$2:$A$26,1))+($C472-INDEX('Shultis Faw'!$A$2:$A$26,MATCH($C472,'Shultis Faw'!$A$2:$A$26,1)))*(INDEX('Shultis Faw'!$D$2:$D$26,MATCH($C472,'Shultis Faw'!$A$2:$A$26,1)+1)-INDEX('Shultis Faw'!$D$2:$D$26,MATCH($C472,'Shultis Faw'!$A$2:$A$26,1)))/(INDEX('Shultis Faw'!$A$2:$A$26,MATCH($C472,'Shultis Faw'!$A$2:$A$26,1)+1)-INDEX('Shultis Faw'!$A$2:$A$26,MATCH($C472,'Shultis Faw'!$A$2:$A$26,1))),$C472*'Shultis Faw'!$D$2/'Shultis Faw'!$A$2)</f>
        <v>1.90295744</v>
      </c>
      <c r="K472" s="83">
        <f>_xlfn.IFNA(INDEX('Shultis Faw'!$B$2:$B$26,MATCH($C472,'Shultis Faw'!$A$2:$A$26,1))+($C472-INDEX('Shultis Faw'!$A$2:$A$26,MATCH($C472,'Shultis Faw'!$A$2:$A$26,1)))*(INDEX('Shultis Faw'!$B$2:$B$26,MATCH($C472,'Shultis Faw'!$A$2:$A$26,1)+1)-INDEX('Shultis Faw'!$B$2:$B$26,MATCH($C472,'Shultis Faw'!$A$2:$A$26,1)))/(INDEX('Shultis Faw'!$A$2:$A$26,MATCH($C472,'Shultis Faw'!$A$2:$A$26,1)+1)-INDEX('Shultis Faw'!$A$2:$A$26,MATCH($C472,'Shultis Faw'!$A$2:$A$26,1))),$C472*'Shultis Faw'!$B$2/'Shultis Faw'!$A$2)</f>
        <v>-0.15124544000000001</v>
      </c>
      <c r="L472" s="83">
        <f>_xlfn.IFNA(INDEX('Shultis Faw'!$E$2:$E$26,MATCH($C472,'Shultis Faw'!$A$2:$A$26,1))+($C472-INDEX('Shultis Faw'!$A$2:$A$26,MATCH($C472,'Shultis Faw'!$A$2:$A$26,1)))*(INDEX('Shultis Faw'!$E$2:$E$26,MATCH($C472,'Shultis Faw'!$A$2:$A$26,1)+1)-INDEX('Shultis Faw'!$E$2:$E$26,MATCH($C472,'Shultis Faw'!$A$2:$A$26,1)))/(INDEX('Shultis Faw'!$A$2:$A$26,MATCH($C472,'Shultis Faw'!$A$2:$A$26,1)+1)-INDEX('Shultis Faw'!$A$2:$A$26,MATCH($C472,'Shultis Faw'!$A$2:$A$26,1))),$C472*'Shultis Faw'!$E$2/'Shultis Faw'!$A$2)</f>
        <v>6.0398175999999998E-2</v>
      </c>
      <c r="M472" s="83">
        <f>_xlfn.IFNA(INDEX('Shultis Faw'!$F$2:$F$26,MATCH($C472,'Shultis Faw'!$A$2:$A$26,1))+($C472-INDEX('Shultis Faw'!$A$2:$A$26,MATCH($C472,'Shultis Faw'!$A$2:$A$26,1)))*(INDEX('Shultis Faw'!$F$2:$F$26,MATCH($C472,'Shultis Faw'!$A$2:$A$26,1)+1)-INDEX('Shultis Faw'!$F$2:$F$26,MATCH($C472,'Shultis Faw'!$A$2:$A$26,1)))/(INDEX('Shultis Faw'!$A$2:$A$26,MATCH($C472,'Shultis Faw'!$A$2:$A$26,1)+1)-INDEX('Shultis Faw'!$A$2:$A$26,MATCH($C472,'Shultis Faw'!$A$2:$A$26,1))),$C472*'Shultis Faw'!$F$2/'Shultis Faw'!$A$2)</f>
        <v>14.23550912</v>
      </c>
      <c r="N472" s="83">
        <f>J472*(H472*'Externe blootstelling'!$D$23/2)^K472+L472*(TANH(((H472*'Externe blootstelling'!$D$23)/(2*M472))-2)-TANH(-2))/(1-TANH(-2))</f>
        <v>1.7702040040113469</v>
      </c>
      <c r="O472" s="83">
        <f>IF(N472=1,1+(I472-1)*H472*'Externe blootstelling'!$D$23/2,1+(I472-1)*(N472^(H472*'Externe blootstelling'!$D$23/2)-1)/(N472-1))</f>
        <v>4.3411270678915859</v>
      </c>
      <c r="P472" s="67">
        <f>G472*EXP(-H472*'Externe blootstelling'!$D$23/2)*O472</f>
        <v>5.2082292339607372E-2</v>
      </c>
      <c r="Q472" s="68"/>
    </row>
    <row r="473" spans="1:17" x14ac:dyDescent="0.2">
      <c r="A473" s="217"/>
      <c r="B473" s="77"/>
      <c r="C473" s="66">
        <v>0.41366359999999996</v>
      </c>
      <c r="D473" s="66">
        <f t="shared" si="33"/>
        <v>6.6186175999999988E-14</v>
      </c>
      <c r="E473" s="66">
        <v>0.17399999999999999</v>
      </c>
      <c r="F473" s="66">
        <f>_xlfn.IFNA(INDEX('hp (pSv cm2)'!$B$2:$B$52,MATCH($C473,'hp (pSv cm2)'!$A$2:$A$52,1))+($C473-INDEX('hp (pSv cm2)'!$A$2:$A$52,MATCH($C473,'hp (pSv cm2)'!$A$2:$A$52,1)))*(INDEX('hp (pSv cm2)'!$B$2:$B$52,MATCH($C473,'hp (pSv cm2)'!$A$2:$A$52,1)+1)-INDEX('hp (pSv cm2)'!$B$2:$B$52,MATCH($C473,'hp (pSv cm2)'!$A$2:$A$52,1)))/(INDEX('hp (pSv cm2)'!$A$2:$A$52,MATCH($C473,'hp (pSv cm2)'!$A$2:$A$52,1)+1)-INDEX('hp (pSv cm2)'!$A$2:$A$52,MATCH($C473,'hp (pSv cm2)'!$A$2:$A$52,1))),$C473*'hp (pSv cm2)'!$B$2/'hp (pSv cm2)'!$A$2)</f>
        <v>2.0642189199999996</v>
      </c>
      <c r="G473" s="67">
        <f t="shared" si="34"/>
        <v>0.3591740920799999</v>
      </c>
      <c r="H473" s="83">
        <f>_xlfn.IFNA(0.997*(INDEX('Mass attenuation coefficients'!$B$2:$B$37,MATCH($C473,'Mass attenuation coefficients'!$A$2:$A$37,1))+($C473-INDEX('Mass attenuation coefficients'!$A$2:$A$37,MATCH($C473,'Mass attenuation coefficients'!$A$2:$A$37,1)))*(INDEX('Mass attenuation coefficients'!$B$2:$B$37,MATCH($C473,'Mass attenuation coefficients'!$A$2:$A$37,1)+1)-INDEX('Mass attenuation coefficients'!$B$2:$B$37,MATCH($C473,'Mass attenuation coefficients'!$A$2:$A$37,1)))/(INDEX('Mass attenuation coefficients'!$A$2:$A$37,MATCH($C473,'Mass attenuation coefficients'!$A$2:$A$37,1)+1)-INDEX('Mass attenuation coefficients'!$A$2:$A$37,MATCH($C473,'Mass attenuation coefficients'!$A$2:$A$37,1)))),0.997*$C473*'Mass attenuation coefficients'!$B$2/'Mass attenuation coefficients'!$A$2)</f>
        <v>0.10452433317084001</v>
      </c>
      <c r="I473" s="83">
        <f>_xlfn.IFNA(INDEX('Shultis Faw'!$C$2:$C$26,MATCH($C473,'Shultis Faw'!$A$2:$A$26,1))+($C473-INDEX('Shultis Faw'!$A$2:$A$26,MATCH($C473,'Shultis Faw'!$A$2:$A$26,1)))*(INDEX('Shultis Faw'!$C$2:$C$26,MATCH($C473,'Shultis Faw'!$A$2:$A$26,1)+1)-INDEX('Shultis Faw'!$C$2:$C$26,MATCH($C473,'Shultis Faw'!$A$2:$A$26,1)))/(INDEX('Shultis Faw'!$A$2:$A$26,MATCH($C473,'Shultis Faw'!$A$2:$A$26,1)+1)-INDEX('Shultis Faw'!$A$2:$A$26,MATCH($C473,'Shultis Faw'!$A$2:$A$26,1))),$C473*'Shultis Faw'!$C$2/'Shultis Faw'!$A$2)</f>
        <v>2.6381382400000004</v>
      </c>
      <c r="J473" s="83">
        <f>_xlfn.IFNA(INDEX('Shultis Faw'!$D$2:$D$26,MATCH($C473,'Shultis Faw'!$A$2:$A$26,1))+($C473-INDEX('Shultis Faw'!$A$2:$A$26,MATCH($C473,'Shultis Faw'!$A$2:$A$26,1)))*(INDEX('Shultis Faw'!$D$2:$D$26,MATCH($C473,'Shultis Faw'!$A$2:$A$26,1)+1)-INDEX('Shultis Faw'!$D$2:$D$26,MATCH($C473,'Shultis Faw'!$A$2:$A$26,1)))/(INDEX('Shultis Faw'!$A$2:$A$26,MATCH($C473,'Shultis Faw'!$A$2:$A$26,1)+1)-INDEX('Shultis Faw'!$A$2:$A$26,MATCH($C473,'Shultis Faw'!$A$2:$A$26,1))),$C473*'Shultis Faw'!$D$2/'Shultis Faw'!$A$2)</f>
        <v>1.8661502240000001</v>
      </c>
      <c r="K473" s="83">
        <f>_xlfn.IFNA(INDEX('Shultis Faw'!$B$2:$B$26,MATCH($C473,'Shultis Faw'!$A$2:$A$26,1))+($C473-INDEX('Shultis Faw'!$A$2:$A$26,MATCH($C473,'Shultis Faw'!$A$2:$A$26,1)))*(INDEX('Shultis Faw'!$B$2:$B$26,MATCH($C473,'Shultis Faw'!$A$2:$A$26,1)+1)-INDEX('Shultis Faw'!$B$2:$B$26,MATCH($C473,'Shultis Faw'!$A$2:$A$26,1)))/(INDEX('Shultis Faw'!$A$2:$A$26,MATCH($C473,'Shultis Faw'!$A$2:$A$26,1)+1)-INDEX('Shultis Faw'!$A$2:$A$26,MATCH($C473,'Shultis Faw'!$A$2:$A$26,1))),$C473*'Shultis Faw'!$B$2/'Shultis Faw'!$A$2)</f>
        <v>-0.147087096</v>
      </c>
      <c r="L473" s="83">
        <f>_xlfn.IFNA(INDEX('Shultis Faw'!$E$2:$E$26,MATCH($C473,'Shultis Faw'!$A$2:$A$26,1))+($C473-INDEX('Shultis Faw'!$A$2:$A$26,MATCH($C473,'Shultis Faw'!$A$2:$A$26,1)))*(INDEX('Shultis Faw'!$E$2:$E$26,MATCH($C473,'Shultis Faw'!$A$2:$A$26,1)+1)-INDEX('Shultis Faw'!$E$2:$E$26,MATCH($C473,'Shultis Faw'!$A$2:$A$26,1)))/(INDEX('Shultis Faw'!$A$2:$A$26,MATCH($C473,'Shultis Faw'!$A$2:$A$26,1)+1)-INDEX('Shultis Faw'!$A$2:$A$26,MATCH($C473,'Shultis Faw'!$A$2:$A$26,1))),$C473*'Shultis Faw'!$E$2/'Shultis Faw'!$A$2)</f>
        <v>5.8830483600000004E-2</v>
      </c>
      <c r="M473" s="83">
        <f>_xlfn.IFNA(INDEX('Shultis Faw'!$F$2:$F$26,MATCH($C473,'Shultis Faw'!$A$2:$A$26,1))+($C473-INDEX('Shultis Faw'!$A$2:$A$26,MATCH($C473,'Shultis Faw'!$A$2:$A$26,1)))*(INDEX('Shultis Faw'!$F$2:$F$26,MATCH($C473,'Shultis Faw'!$A$2:$A$26,1)+1)-INDEX('Shultis Faw'!$F$2:$F$26,MATCH($C473,'Shultis Faw'!$A$2:$A$26,1)))/(INDEX('Shultis Faw'!$A$2:$A$26,MATCH($C473,'Shultis Faw'!$A$2:$A$26,1)+1)-INDEX('Shultis Faw'!$A$2:$A$26,MATCH($C473,'Shultis Faw'!$A$2:$A$26,1))),$C473*'Shultis Faw'!$F$2/'Shultis Faw'!$A$2)</f>
        <v>14.252297240000001</v>
      </c>
      <c r="N473" s="83">
        <f>J473*(H473*'Externe blootstelling'!$D$23/2)^K473+L473*(TANH(((H473*'Externe blootstelling'!$D$23)/(2*M473))-2)-TANH(-2))/(1-TANH(-2))</f>
        <v>1.7469628627512592</v>
      </c>
      <c r="O473" s="83">
        <f>IF(N473=1,1+(I473-1)*H473*'Externe blootstelling'!$D$23/2,1+(I473-1)*(N473^(H473*'Externe blootstelling'!$D$23/2)-1)/(N473-1))</f>
        <v>4.0661341178563433</v>
      </c>
      <c r="P473" s="67">
        <f>G473*EXP(-H473*'Externe blootstelling'!$D$23/2)*O473</f>
        <v>0.304488984076975</v>
      </c>
      <c r="Q473" s="68"/>
    </row>
    <row r="474" spans="1:17" x14ac:dyDescent="0.2">
      <c r="A474" s="217"/>
      <c r="B474" s="77"/>
      <c r="C474" s="66">
        <v>0.4185391</v>
      </c>
      <c r="D474" s="66">
        <f t="shared" si="33"/>
        <v>6.6966255999999996E-14</v>
      </c>
      <c r="E474" s="66">
        <v>0.21299999999999999</v>
      </c>
      <c r="F474" s="66">
        <f>_xlfn.IFNA(INDEX('hp (pSv cm2)'!$B$2:$B$52,MATCH($C474,'hp (pSv cm2)'!$A$2:$A$52,1))+($C474-INDEX('hp (pSv cm2)'!$A$2:$A$52,MATCH($C474,'hp (pSv cm2)'!$A$2:$A$52,1)))*(INDEX('hp (pSv cm2)'!$B$2:$B$52,MATCH($C474,'hp (pSv cm2)'!$A$2:$A$52,1)+1)-INDEX('hp (pSv cm2)'!$B$2:$B$52,MATCH($C474,'hp (pSv cm2)'!$A$2:$A$52,1)))/(INDEX('hp (pSv cm2)'!$A$2:$A$52,MATCH($C474,'hp (pSv cm2)'!$A$2:$A$52,1)+1)-INDEX('hp (pSv cm2)'!$A$2:$A$52,MATCH($C474,'hp (pSv cm2)'!$A$2:$A$52,1))),$C474*'hp (pSv cm2)'!$B$2/'hp (pSv cm2)'!$A$2)</f>
        <v>2.0871337699999999</v>
      </c>
      <c r="G474" s="67">
        <f t="shared" si="34"/>
        <v>0.44455949300999997</v>
      </c>
      <c r="H474" s="83">
        <f>_xlfn.IFNA(0.997*(INDEX('Mass attenuation coefficients'!$B$2:$B$37,MATCH($C474,'Mass attenuation coefficients'!$A$2:$A$37,1))+($C474-INDEX('Mass attenuation coefficients'!$A$2:$A$37,MATCH($C474,'Mass attenuation coefficients'!$A$2:$A$37,1)))*(INDEX('Mass attenuation coefficients'!$B$2:$B$37,MATCH($C474,'Mass attenuation coefficients'!$A$2:$A$37,1)+1)-INDEX('Mass attenuation coefficients'!$B$2:$B$37,MATCH($C474,'Mass attenuation coefficients'!$A$2:$A$37,1)))/(INDEX('Mass attenuation coefficients'!$A$2:$A$37,MATCH($C474,'Mass attenuation coefficients'!$A$2:$A$37,1)+1)-INDEX('Mass attenuation coefficients'!$A$2:$A$37,MATCH($C474,'Mass attenuation coefficients'!$A$2:$A$37,1)))),0.997*$C474*'Mass attenuation coefficients'!$B$2/'Mass attenuation coefficients'!$A$2)</f>
        <v>0.10407567454679</v>
      </c>
      <c r="I474" s="83">
        <f>_xlfn.IFNA(INDEX('Shultis Faw'!$C$2:$C$26,MATCH($C474,'Shultis Faw'!$A$2:$A$26,1))+($C474-INDEX('Shultis Faw'!$A$2:$A$26,MATCH($C474,'Shultis Faw'!$A$2:$A$26,1)))*(INDEX('Shultis Faw'!$C$2:$C$26,MATCH($C474,'Shultis Faw'!$A$2:$A$26,1)+1)-INDEX('Shultis Faw'!$C$2:$C$26,MATCH($C474,'Shultis Faw'!$A$2:$A$26,1)))/(INDEX('Shultis Faw'!$A$2:$A$26,MATCH($C474,'Shultis Faw'!$A$2:$A$26,1)+1)-INDEX('Shultis Faw'!$A$2:$A$26,MATCH($C474,'Shultis Faw'!$A$2:$A$26,1))),$C474*'Shultis Faw'!$C$2/'Shultis Faw'!$A$2)</f>
        <v>2.6303374400000004</v>
      </c>
      <c r="J474" s="83">
        <f>_xlfn.IFNA(INDEX('Shultis Faw'!$D$2:$D$26,MATCH($C474,'Shultis Faw'!$A$2:$A$26,1))+($C474-INDEX('Shultis Faw'!$A$2:$A$26,MATCH($C474,'Shultis Faw'!$A$2:$A$26,1)))*(INDEX('Shultis Faw'!$D$2:$D$26,MATCH($C474,'Shultis Faw'!$A$2:$A$26,1)+1)-INDEX('Shultis Faw'!$D$2:$D$26,MATCH($C474,'Shultis Faw'!$A$2:$A$26,1)))/(INDEX('Shultis Faw'!$A$2:$A$26,MATCH($C474,'Shultis Faw'!$A$2:$A$26,1)+1)-INDEX('Shultis Faw'!$A$2:$A$26,MATCH($C474,'Shultis Faw'!$A$2:$A$26,1))),$C474*'Shultis Faw'!$D$2/'Shultis Faw'!$A$2)</f>
        <v>1.8604946439999999</v>
      </c>
      <c r="K474" s="83">
        <f>_xlfn.IFNA(INDEX('Shultis Faw'!$B$2:$B$26,MATCH($C474,'Shultis Faw'!$A$2:$A$26,1))+($C474-INDEX('Shultis Faw'!$A$2:$A$26,MATCH($C474,'Shultis Faw'!$A$2:$A$26,1)))*(INDEX('Shultis Faw'!$B$2:$B$26,MATCH($C474,'Shultis Faw'!$A$2:$A$26,1)+1)-INDEX('Shultis Faw'!$B$2:$B$26,MATCH($C474,'Shultis Faw'!$A$2:$A$26,1)))/(INDEX('Shultis Faw'!$A$2:$A$26,MATCH($C474,'Shultis Faw'!$A$2:$A$26,1)+1)-INDEX('Shultis Faw'!$A$2:$A$26,MATCH($C474,'Shultis Faw'!$A$2:$A$26,1))),$C474*'Shultis Faw'!$B$2/'Shultis Faw'!$A$2)</f>
        <v>-0.14640452600000001</v>
      </c>
      <c r="L474" s="83">
        <f>_xlfn.IFNA(INDEX('Shultis Faw'!$E$2:$E$26,MATCH($C474,'Shultis Faw'!$A$2:$A$26,1))+($C474-INDEX('Shultis Faw'!$A$2:$A$26,MATCH($C474,'Shultis Faw'!$A$2:$A$26,1)))*(INDEX('Shultis Faw'!$E$2:$E$26,MATCH($C474,'Shultis Faw'!$A$2:$A$26,1)+1)-INDEX('Shultis Faw'!$E$2:$E$26,MATCH($C474,'Shultis Faw'!$A$2:$A$26,1)))/(INDEX('Shultis Faw'!$A$2:$A$26,MATCH($C474,'Shultis Faw'!$A$2:$A$26,1)+1)-INDEX('Shultis Faw'!$A$2:$A$26,MATCH($C474,'Shultis Faw'!$A$2:$A$26,1))),$C474*'Shultis Faw'!$E$2/'Shultis Faw'!$A$2)</f>
        <v>5.8591584099999997E-2</v>
      </c>
      <c r="M474" s="83">
        <f>_xlfn.IFNA(INDEX('Shultis Faw'!$F$2:$F$26,MATCH($C474,'Shultis Faw'!$A$2:$A$26,1))+($C474-INDEX('Shultis Faw'!$A$2:$A$26,MATCH($C474,'Shultis Faw'!$A$2:$A$26,1)))*(INDEX('Shultis Faw'!$F$2:$F$26,MATCH($C474,'Shultis Faw'!$A$2:$A$26,1)+1)-INDEX('Shultis Faw'!$F$2:$F$26,MATCH($C474,'Shultis Faw'!$A$2:$A$26,1)))/(INDEX('Shultis Faw'!$A$2:$A$26,MATCH($C474,'Shultis Faw'!$A$2:$A$26,1)+1)-INDEX('Shultis Faw'!$A$2:$A$26,MATCH($C474,'Shultis Faw'!$A$2:$A$26,1))),$C474*'Shultis Faw'!$F$2/'Shultis Faw'!$A$2)</f>
        <v>14.256685190000001</v>
      </c>
      <c r="N474" s="83">
        <f>J474*(H474*'Externe blootstelling'!$D$23/2)^K474+L474*(TANH(((H474*'Externe blootstelling'!$D$23)/(2*M474))-2)-TANH(-2))/(1-TANH(-2))</f>
        <v>1.7432989209630765</v>
      </c>
      <c r="O474" s="83">
        <f>IF(N474=1,1+(I474-1)*H474*'Externe blootstelling'!$D$23/2,1+(I474-1)*(N474^(H474*'Externe blootstelling'!$D$23/2)-1)/(N474-1))</f>
        <v>4.0297163626421453</v>
      </c>
      <c r="P474" s="67">
        <f>G474*EXP(-H474*'Externe blootstelling'!$D$23/2)*O474</f>
        <v>0.37602091330738668</v>
      </c>
      <c r="Q474" s="68"/>
    </row>
    <row r="475" spans="1:17" x14ac:dyDescent="0.2">
      <c r="A475" s="217"/>
      <c r="B475" s="77"/>
      <c r="C475" s="66">
        <v>0.42647259999999998</v>
      </c>
      <c r="D475" s="66">
        <f t="shared" si="33"/>
        <v>6.8235615999999989E-14</v>
      </c>
      <c r="E475" s="66">
        <v>4.28E-3</v>
      </c>
      <c r="F475" s="66">
        <f>_xlfn.IFNA(INDEX('hp (pSv cm2)'!$B$2:$B$52,MATCH($C475,'hp (pSv cm2)'!$A$2:$A$52,1))+($C475-INDEX('hp (pSv cm2)'!$A$2:$A$52,MATCH($C475,'hp (pSv cm2)'!$A$2:$A$52,1)))*(INDEX('hp (pSv cm2)'!$B$2:$B$52,MATCH($C475,'hp (pSv cm2)'!$A$2:$A$52,1)+1)-INDEX('hp (pSv cm2)'!$B$2:$B$52,MATCH($C475,'hp (pSv cm2)'!$A$2:$A$52,1)))/(INDEX('hp (pSv cm2)'!$A$2:$A$52,MATCH($C475,'hp (pSv cm2)'!$A$2:$A$52,1)+1)-INDEX('hp (pSv cm2)'!$A$2:$A$52,MATCH($C475,'hp (pSv cm2)'!$A$2:$A$52,1))),$C475*'hp (pSv cm2)'!$B$2/'hp (pSv cm2)'!$A$2)</f>
        <v>2.1244212199999999</v>
      </c>
      <c r="G475" s="67">
        <f t="shared" si="34"/>
        <v>9.0925228215999986E-3</v>
      </c>
      <c r="H475" s="83">
        <f>_xlfn.IFNA(0.997*(INDEX('Mass attenuation coefficients'!$B$2:$B$37,MATCH($C475,'Mass attenuation coefficients'!$A$2:$A$37,1))+($C475-INDEX('Mass attenuation coefficients'!$A$2:$A$37,MATCH($C475,'Mass attenuation coefficients'!$A$2:$A$37,1)))*(INDEX('Mass attenuation coefficients'!$B$2:$B$37,MATCH($C475,'Mass attenuation coefficients'!$A$2:$A$37,1)+1)-INDEX('Mass attenuation coefficients'!$B$2:$B$37,MATCH($C475,'Mass attenuation coefficients'!$A$2:$A$37,1)))/(INDEX('Mass attenuation coefficients'!$A$2:$A$37,MATCH($C475,'Mass attenuation coefficients'!$A$2:$A$37,1)+1)-INDEX('Mass attenuation coefficients'!$A$2:$A$37,MATCH($C475,'Mass attenuation coefficients'!$A$2:$A$37,1)))),0.997*$C475*'Mass attenuation coefficients'!$B$2/'Mass attenuation coefficients'!$A$2)</f>
        <v>0.10334560928294</v>
      </c>
      <c r="I475" s="83">
        <f>_xlfn.IFNA(INDEX('Shultis Faw'!$C$2:$C$26,MATCH($C475,'Shultis Faw'!$A$2:$A$26,1))+($C475-INDEX('Shultis Faw'!$A$2:$A$26,MATCH($C475,'Shultis Faw'!$A$2:$A$26,1)))*(INDEX('Shultis Faw'!$C$2:$C$26,MATCH($C475,'Shultis Faw'!$A$2:$A$26,1)+1)-INDEX('Shultis Faw'!$C$2:$C$26,MATCH($C475,'Shultis Faw'!$A$2:$A$26,1)))/(INDEX('Shultis Faw'!$A$2:$A$26,MATCH($C475,'Shultis Faw'!$A$2:$A$26,1)+1)-INDEX('Shultis Faw'!$A$2:$A$26,MATCH($C475,'Shultis Faw'!$A$2:$A$26,1))),$C475*'Shultis Faw'!$C$2/'Shultis Faw'!$A$2)</f>
        <v>2.6176438400000004</v>
      </c>
      <c r="J475" s="83">
        <f>_xlfn.IFNA(INDEX('Shultis Faw'!$D$2:$D$26,MATCH($C475,'Shultis Faw'!$A$2:$A$26,1))+($C475-INDEX('Shultis Faw'!$A$2:$A$26,MATCH($C475,'Shultis Faw'!$A$2:$A$26,1)))*(INDEX('Shultis Faw'!$D$2:$D$26,MATCH($C475,'Shultis Faw'!$A$2:$A$26,1)+1)-INDEX('Shultis Faw'!$D$2:$D$26,MATCH($C475,'Shultis Faw'!$A$2:$A$26,1)))/(INDEX('Shultis Faw'!$A$2:$A$26,MATCH($C475,'Shultis Faw'!$A$2:$A$26,1)+1)-INDEX('Shultis Faw'!$A$2:$A$26,MATCH($C475,'Shultis Faw'!$A$2:$A$26,1))),$C475*'Shultis Faw'!$D$2/'Shultis Faw'!$A$2)</f>
        <v>1.8512917840000001</v>
      </c>
      <c r="K475" s="83">
        <f>_xlfn.IFNA(INDEX('Shultis Faw'!$B$2:$B$26,MATCH($C475,'Shultis Faw'!$A$2:$A$26,1))+($C475-INDEX('Shultis Faw'!$A$2:$A$26,MATCH($C475,'Shultis Faw'!$A$2:$A$26,1)))*(INDEX('Shultis Faw'!$B$2:$B$26,MATCH($C475,'Shultis Faw'!$A$2:$A$26,1)+1)-INDEX('Shultis Faw'!$B$2:$B$26,MATCH($C475,'Shultis Faw'!$A$2:$A$26,1)))/(INDEX('Shultis Faw'!$A$2:$A$26,MATCH($C475,'Shultis Faw'!$A$2:$A$26,1)+1)-INDEX('Shultis Faw'!$A$2:$A$26,MATCH($C475,'Shultis Faw'!$A$2:$A$26,1))),$C475*'Shultis Faw'!$B$2/'Shultis Faw'!$A$2)</f>
        <v>-0.14529383600000001</v>
      </c>
      <c r="L475" s="83">
        <f>_xlfn.IFNA(INDEX('Shultis Faw'!$E$2:$E$26,MATCH($C475,'Shultis Faw'!$A$2:$A$26,1))+($C475-INDEX('Shultis Faw'!$A$2:$A$26,MATCH($C475,'Shultis Faw'!$A$2:$A$26,1)))*(INDEX('Shultis Faw'!$E$2:$E$26,MATCH($C475,'Shultis Faw'!$A$2:$A$26,1)+1)-INDEX('Shultis Faw'!$E$2:$E$26,MATCH($C475,'Shultis Faw'!$A$2:$A$26,1)))/(INDEX('Shultis Faw'!$A$2:$A$26,MATCH($C475,'Shultis Faw'!$A$2:$A$26,1)+1)-INDEX('Shultis Faw'!$A$2:$A$26,MATCH($C475,'Shultis Faw'!$A$2:$A$26,1))),$C475*'Shultis Faw'!$E$2/'Shultis Faw'!$A$2)</f>
        <v>5.8202842599999999E-2</v>
      </c>
      <c r="M475" s="83">
        <f>_xlfn.IFNA(INDEX('Shultis Faw'!$F$2:$F$26,MATCH($C475,'Shultis Faw'!$A$2:$A$26,1))+($C475-INDEX('Shultis Faw'!$A$2:$A$26,MATCH($C475,'Shultis Faw'!$A$2:$A$26,1)))*(INDEX('Shultis Faw'!$F$2:$F$26,MATCH($C475,'Shultis Faw'!$A$2:$A$26,1)+1)-INDEX('Shultis Faw'!$F$2:$F$26,MATCH($C475,'Shultis Faw'!$A$2:$A$26,1)))/(INDEX('Shultis Faw'!$A$2:$A$26,MATCH($C475,'Shultis Faw'!$A$2:$A$26,1)+1)-INDEX('Shultis Faw'!$A$2:$A$26,MATCH($C475,'Shultis Faw'!$A$2:$A$26,1))),$C475*'Shultis Faw'!$F$2/'Shultis Faw'!$A$2)</f>
        <v>14.26382534</v>
      </c>
      <c r="N475" s="83">
        <f>J475*(H475*'Externe blootstelling'!$D$23/2)^K475+L475*(TANH(((H475*'Externe blootstelling'!$D$23)/(2*M475))-2)-TANH(-2))/(1-TANH(-2))</f>
        <v>1.7373072022188805</v>
      </c>
      <c r="O475" s="83">
        <f>IF(N475=1,1+(I475-1)*H475*'Externe blootstelling'!$D$23/2,1+(I475-1)*(N475^(H475*'Externe blootstelling'!$D$23/2)-1)/(N475-1))</f>
        <v>3.9712137041483597</v>
      </c>
      <c r="P475" s="67">
        <f>G475*EXP(-H475*'Externe blootstelling'!$D$23/2)*O475</f>
        <v>7.6625132884097138E-3</v>
      </c>
      <c r="Q475" s="68"/>
    </row>
    <row r="476" spans="1:17" x14ac:dyDescent="0.2">
      <c r="A476" s="217"/>
      <c r="B476" s="77"/>
      <c r="C476" s="66">
        <v>0.46584160000000002</v>
      </c>
      <c r="D476" s="66">
        <f t="shared" si="33"/>
        <v>7.4534656000000006E-14</v>
      </c>
      <c r="E476" s="66">
        <v>2.35E-2</v>
      </c>
      <c r="F476" s="66">
        <f>_xlfn.IFNA(INDEX('hp (pSv cm2)'!$B$2:$B$52,MATCH($C476,'hp (pSv cm2)'!$A$2:$A$52,1))+($C476-INDEX('hp (pSv cm2)'!$A$2:$A$52,MATCH($C476,'hp (pSv cm2)'!$A$2:$A$52,1)))*(INDEX('hp (pSv cm2)'!$B$2:$B$52,MATCH($C476,'hp (pSv cm2)'!$A$2:$A$52,1)+1)-INDEX('hp (pSv cm2)'!$B$2:$B$52,MATCH($C476,'hp (pSv cm2)'!$A$2:$A$52,1)))/(INDEX('hp (pSv cm2)'!$A$2:$A$52,MATCH($C476,'hp (pSv cm2)'!$A$2:$A$52,1)+1)-INDEX('hp (pSv cm2)'!$A$2:$A$52,MATCH($C476,'hp (pSv cm2)'!$A$2:$A$52,1))),$C476*'hp (pSv cm2)'!$B$2/'hp (pSv cm2)'!$A$2)</f>
        <v>2.3094555200000002</v>
      </c>
      <c r="G476" s="67">
        <f t="shared" si="34"/>
        <v>5.4272204720000002E-2</v>
      </c>
      <c r="H476" s="83">
        <f>_xlfn.IFNA(0.997*(INDEX('Mass attenuation coefficients'!$B$2:$B$37,MATCH($C476,'Mass attenuation coefficients'!$A$2:$A$37,1))+($C476-INDEX('Mass attenuation coefficients'!$A$2:$A$37,MATCH($C476,'Mass attenuation coefficients'!$A$2:$A$37,1)))*(INDEX('Mass attenuation coefficients'!$B$2:$B$37,MATCH($C476,'Mass attenuation coefficients'!$A$2:$A$37,1)+1)-INDEX('Mass attenuation coefficients'!$B$2:$B$37,MATCH($C476,'Mass attenuation coefficients'!$A$2:$A$37,1)))/(INDEX('Mass attenuation coefficients'!$A$2:$A$37,MATCH($C476,'Mass attenuation coefficients'!$A$2:$A$37,1)+1)-INDEX('Mass attenuation coefficients'!$A$2:$A$37,MATCH($C476,'Mass attenuation coefficients'!$A$2:$A$37,1)))),0.997*$C476*'Mass attenuation coefficients'!$B$2/'Mass attenuation coefficients'!$A$2)</f>
        <v>9.972275185903999E-2</v>
      </c>
      <c r="I476" s="83">
        <f>_xlfn.IFNA(INDEX('Shultis Faw'!$C$2:$C$26,MATCH($C476,'Shultis Faw'!$A$2:$A$26,1))+($C476-INDEX('Shultis Faw'!$A$2:$A$26,MATCH($C476,'Shultis Faw'!$A$2:$A$26,1)))*(INDEX('Shultis Faw'!$C$2:$C$26,MATCH($C476,'Shultis Faw'!$A$2:$A$26,1)+1)-INDEX('Shultis Faw'!$C$2:$C$26,MATCH($C476,'Shultis Faw'!$A$2:$A$26,1)))/(INDEX('Shultis Faw'!$A$2:$A$26,MATCH($C476,'Shultis Faw'!$A$2:$A$26,1)+1)-INDEX('Shultis Faw'!$A$2:$A$26,MATCH($C476,'Shultis Faw'!$A$2:$A$26,1))),$C476*'Shultis Faw'!$C$2/'Shultis Faw'!$A$2)</f>
        <v>2.5546534400000001</v>
      </c>
      <c r="J476" s="83">
        <f>_xlfn.IFNA(INDEX('Shultis Faw'!$D$2:$D$26,MATCH($C476,'Shultis Faw'!$A$2:$A$26,1))+($C476-INDEX('Shultis Faw'!$A$2:$A$26,MATCH($C476,'Shultis Faw'!$A$2:$A$26,1)))*(INDEX('Shultis Faw'!$D$2:$D$26,MATCH($C476,'Shultis Faw'!$A$2:$A$26,1)+1)-INDEX('Shultis Faw'!$D$2:$D$26,MATCH($C476,'Shultis Faw'!$A$2:$A$26,1)))/(INDEX('Shultis Faw'!$A$2:$A$26,MATCH($C476,'Shultis Faw'!$A$2:$A$26,1)+1)-INDEX('Shultis Faw'!$A$2:$A$26,MATCH($C476,'Shultis Faw'!$A$2:$A$26,1))),$C476*'Shultis Faw'!$D$2/'Shultis Faw'!$A$2)</f>
        <v>1.805623744</v>
      </c>
      <c r="K476" s="83">
        <f>_xlfn.IFNA(INDEX('Shultis Faw'!$B$2:$B$26,MATCH($C476,'Shultis Faw'!$A$2:$A$26,1))+($C476-INDEX('Shultis Faw'!$A$2:$A$26,MATCH($C476,'Shultis Faw'!$A$2:$A$26,1)))*(INDEX('Shultis Faw'!$B$2:$B$26,MATCH($C476,'Shultis Faw'!$A$2:$A$26,1)+1)-INDEX('Shultis Faw'!$B$2:$B$26,MATCH($C476,'Shultis Faw'!$A$2:$A$26,1)))/(INDEX('Shultis Faw'!$A$2:$A$26,MATCH($C476,'Shultis Faw'!$A$2:$A$26,1)+1)-INDEX('Shultis Faw'!$A$2:$A$26,MATCH($C476,'Shultis Faw'!$A$2:$A$26,1))),$C476*'Shultis Faw'!$B$2/'Shultis Faw'!$A$2)</f>
        <v>-0.13978217600000001</v>
      </c>
      <c r="L476" s="83">
        <f>_xlfn.IFNA(INDEX('Shultis Faw'!$E$2:$E$26,MATCH($C476,'Shultis Faw'!$A$2:$A$26,1))+($C476-INDEX('Shultis Faw'!$A$2:$A$26,MATCH($C476,'Shultis Faw'!$A$2:$A$26,1)))*(INDEX('Shultis Faw'!$E$2:$E$26,MATCH($C476,'Shultis Faw'!$A$2:$A$26,1)+1)-INDEX('Shultis Faw'!$E$2:$E$26,MATCH($C476,'Shultis Faw'!$A$2:$A$26,1)))/(INDEX('Shultis Faw'!$A$2:$A$26,MATCH($C476,'Shultis Faw'!$A$2:$A$26,1)+1)-INDEX('Shultis Faw'!$A$2:$A$26,MATCH($C476,'Shultis Faw'!$A$2:$A$26,1))),$C476*'Shultis Faw'!$E$2/'Shultis Faw'!$A$2)</f>
        <v>5.62737616E-2</v>
      </c>
      <c r="M476" s="83">
        <f>_xlfn.IFNA(INDEX('Shultis Faw'!$F$2:$F$26,MATCH($C476,'Shultis Faw'!$A$2:$A$26,1))+($C476-INDEX('Shultis Faw'!$A$2:$A$26,MATCH($C476,'Shultis Faw'!$A$2:$A$26,1)))*(INDEX('Shultis Faw'!$F$2:$F$26,MATCH($C476,'Shultis Faw'!$A$2:$A$26,1)+1)-INDEX('Shultis Faw'!$F$2:$F$26,MATCH($C476,'Shultis Faw'!$A$2:$A$26,1)))/(INDEX('Shultis Faw'!$A$2:$A$26,MATCH($C476,'Shultis Faw'!$A$2:$A$26,1)+1)-INDEX('Shultis Faw'!$A$2:$A$26,MATCH($C476,'Shultis Faw'!$A$2:$A$26,1))),$C476*'Shultis Faw'!$F$2/'Shultis Faw'!$A$2)</f>
        <v>14.29925744</v>
      </c>
      <c r="N476" s="83">
        <f>J476*(H476*'Externe blootstelling'!$D$23/2)^K476+L476*(TANH(((H476*'Externe blootstelling'!$D$23)/(2*M476))-2)-TANH(-2))/(1-TANH(-2))</f>
        <v>1.7070296304617025</v>
      </c>
      <c r="O476" s="83">
        <f>IF(N476=1,1+(I476-1)*H476*'Externe blootstelling'!$D$23/2,1+(I476-1)*(N476^(H476*'Externe blootstelling'!$D$23/2)-1)/(N476-1))</f>
        <v>3.694334292747377</v>
      </c>
      <c r="P476" s="67">
        <f>G476*EXP(-H476*'Externe blootstelling'!$D$23/2)*O476</f>
        <v>4.4923961145742708E-2</v>
      </c>
      <c r="Q476" s="68"/>
    </row>
    <row r="477" spans="1:17" x14ac:dyDescent="0.2">
      <c r="A477" s="218"/>
      <c r="B477" s="64"/>
      <c r="C477" s="66"/>
      <c r="D477" s="66"/>
      <c r="E477" s="66"/>
      <c r="F477" s="66"/>
      <c r="G477" s="68"/>
      <c r="H477" s="83"/>
      <c r="I477" s="83"/>
      <c r="J477" s="83"/>
      <c r="K477" s="83"/>
      <c r="L477" s="83"/>
      <c r="M477" s="83"/>
      <c r="N477" s="83"/>
      <c r="O477" s="83"/>
      <c r="P477" s="68"/>
      <c r="Q477" s="67">
        <f>SUM(P429:P476)/SUM(G429:G476)</f>
        <v>0.99365734618278556</v>
      </c>
    </row>
    <row r="478" spans="1:17" s="62" customFormat="1" x14ac:dyDescent="0.2">
      <c r="A478" s="69"/>
      <c r="B478" s="70"/>
      <c r="C478" s="71"/>
      <c r="D478" s="71"/>
      <c r="E478" s="71"/>
      <c r="F478" s="71"/>
      <c r="G478" s="73"/>
      <c r="H478" s="84"/>
      <c r="I478" s="84"/>
      <c r="J478" s="84"/>
      <c r="K478" s="84"/>
      <c r="L478" s="84"/>
      <c r="M478" s="84"/>
      <c r="N478" s="84"/>
      <c r="O478" s="84"/>
      <c r="P478" s="73"/>
      <c r="Q478" s="72"/>
    </row>
    <row r="479" spans="1:17" x14ac:dyDescent="0.2">
      <c r="A479" s="216" t="s">
        <v>149</v>
      </c>
      <c r="B479" s="64" t="s">
        <v>102</v>
      </c>
      <c r="C479" s="66">
        <v>9.5320999999999999E-3</v>
      </c>
      <c r="D479" s="66">
        <f t="shared" ref="D479:D497" si="35">C479*1000000*1.6E-19</f>
        <v>1.5251359999999999E-15</v>
      </c>
      <c r="E479" s="66">
        <v>0.02</v>
      </c>
      <c r="F479" s="66">
        <f>_xlfn.IFNA(INDEX('hp (pSv cm2)'!$B$2:$B$52,MATCH($C479,'hp (pSv cm2)'!$A$2:$A$52,1))+($C479-INDEX('hp (pSv cm2)'!$A$2:$A$52,MATCH($C479,'hp (pSv cm2)'!$A$2:$A$52,1)))*(INDEX('hp (pSv cm2)'!$B$2:$B$52,MATCH($C479,'hp (pSv cm2)'!$A$2:$A$52,1)+1)-INDEX('hp (pSv cm2)'!$B$2:$B$52,MATCH($C479,'hp (pSv cm2)'!$A$2:$A$52,1)))/(INDEX('hp (pSv cm2)'!$A$2:$A$52,MATCH($C479,'hp (pSv cm2)'!$A$2:$A$52,1)+1)-INDEX('hp (pSv cm2)'!$A$2:$A$52,MATCH($C479,'hp (pSv cm2)'!$A$2:$A$52,1))),$C479*'hp (pSv cm2)'!$B$2/'hp (pSv cm2)'!$A$2)</f>
        <v>5.9375950000000011E-2</v>
      </c>
      <c r="G479" s="67">
        <f t="shared" ref="G479:G497" si="36">F479*E479</f>
        <v>1.1875190000000002E-3</v>
      </c>
      <c r="H479" s="83">
        <f>_xlfn.IFNA(0.997*(INDEX('Mass attenuation coefficients'!$B$2:$B$37,MATCH($C479,'Mass attenuation coefficients'!$A$2:$A$37,1))+($C479-INDEX('Mass attenuation coefficients'!$A$2:$A$37,MATCH($C479,'Mass attenuation coefficients'!$A$2:$A$37,1)))*(INDEX('Mass attenuation coefficients'!$B$2:$B$37,MATCH($C479,'Mass attenuation coefficients'!$A$2:$A$37,1)+1)-INDEX('Mass attenuation coefficients'!$B$2:$B$37,MATCH($C479,'Mass attenuation coefficients'!$A$2:$A$37,1)))/(INDEX('Mass attenuation coefficients'!$A$2:$A$37,MATCH($C479,'Mass attenuation coefficients'!$A$2:$A$37,1)+1)-INDEX('Mass attenuation coefficients'!$A$2:$A$37,MATCH($C479,'Mass attenuation coefficients'!$A$2:$A$37,1)))),0.997*$C479*'Mass attenuation coefficients'!$B$2/'Mass attenuation coefficients'!$A$2)</f>
        <v>6.48881692415</v>
      </c>
      <c r="I479" s="83">
        <f>_xlfn.IFNA(INDEX('Shultis Faw'!$C$2:$C$26,MATCH($C479,'Shultis Faw'!$A$2:$A$26,1))+($C479-INDEX('Shultis Faw'!$A$2:$A$26,MATCH($C479,'Shultis Faw'!$A$2:$A$26,1)))*(INDEX('Shultis Faw'!$C$2:$C$26,MATCH($C479,'Shultis Faw'!$A$2:$A$26,1)+1)-INDEX('Shultis Faw'!$C$2:$C$26,MATCH($C479,'Shultis Faw'!$A$2:$A$26,1)))/(INDEX('Shultis Faw'!$A$2:$A$26,MATCH($C479,'Shultis Faw'!$A$2:$A$26,1)+1)-INDEX('Shultis Faw'!$A$2:$A$26,MATCH($C479,'Shultis Faw'!$A$2:$A$26,1))),$C479*'Shultis Faw'!$C$2/'Shultis Faw'!$A$2)</f>
        <v>0.75112948000000002</v>
      </c>
      <c r="J479" s="83">
        <f>_xlfn.IFNA(INDEX('Shultis Faw'!$D$2:$D$26,MATCH($C479,'Shultis Faw'!$A$2:$A$26,1))+($C479-INDEX('Shultis Faw'!$A$2:$A$26,MATCH($C479,'Shultis Faw'!$A$2:$A$26,1)))*(INDEX('Shultis Faw'!$D$2:$D$26,MATCH($C479,'Shultis Faw'!$A$2:$A$26,1)+1)-INDEX('Shultis Faw'!$D$2:$D$26,MATCH($C479,'Shultis Faw'!$A$2:$A$26,1)))/(INDEX('Shultis Faw'!$A$2:$A$26,MATCH($C479,'Shultis Faw'!$A$2:$A$26,1)+1)-INDEX('Shultis Faw'!$A$2:$A$26,MATCH($C479,'Shultis Faw'!$A$2:$A$26,1))),$C479*'Shultis Faw'!$D$2/'Shultis Faw'!$A$2)</f>
        <v>0.29422415333333335</v>
      </c>
      <c r="K479" s="83">
        <f>_xlfn.IFNA(INDEX('Shultis Faw'!$B$2:$B$26,MATCH($C479,'Shultis Faw'!$A$2:$A$26,1))+($C479-INDEX('Shultis Faw'!$A$2:$A$26,MATCH($C479,'Shultis Faw'!$A$2:$A$26,1)))*(INDEX('Shultis Faw'!$B$2:$B$26,MATCH($C479,'Shultis Faw'!$A$2:$A$26,1)+1)-INDEX('Shultis Faw'!$B$2:$B$26,MATCH($C479,'Shultis Faw'!$A$2:$A$26,1)))/(INDEX('Shultis Faw'!$A$2:$A$26,MATCH($C479,'Shultis Faw'!$A$2:$A$26,1)+1)-INDEX('Shultis Faw'!$A$2:$A$26,MATCH($C479,'Shultis Faw'!$A$2:$A$26,1))),$C479*'Shultis Faw'!$B$2/'Shultis Faw'!$A$2)</f>
        <v>0.10930141333333332</v>
      </c>
      <c r="L479" s="83">
        <f>_xlfn.IFNA(INDEX('Shultis Faw'!$E$2:$E$26,MATCH($C479,'Shultis Faw'!$A$2:$A$26,1))+($C479-INDEX('Shultis Faw'!$A$2:$A$26,MATCH($C479,'Shultis Faw'!$A$2:$A$26,1)))*(INDEX('Shultis Faw'!$E$2:$E$26,MATCH($C479,'Shultis Faw'!$A$2:$A$26,1)+1)-INDEX('Shultis Faw'!$E$2:$E$26,MATCH($C479,'Shultis Faw'!$A$2:$A$26,1)))/(INDEX('Shultis Faw'!$A$2:$A$26,MATCH($C479,'Shultis Faw'!$A$2:$A$26,1)+1)-INDEX('Shultis Faw'!$A$2:$A$26,MATCH($C479,'Shultis Faw'!$A$2:$A$26,1))),$C479*'Shultis Faw'!$E$2/'Shultis Faw'!$A$2)</f>
        <v>-5.7700978666666673E-2</v>
      </c>
      <c r="M479" s="83">
        <f>_xlfn.IFNA(INDEX('Shultis Faw'!$F$2:$F$26,MATCH($C479,'Shultis Faw'!$A$2:$A$26,1))+($C479-INDEX('Shultis Faw'!$A$2:$A$26,MATCH($C479,'Shultis Faw'!$A$2:$A$26,1)))*(INDEX('Shultis Faw'!$F$2:$F$26,MATCH($C479,'Shultis Faw'!$A$2:$A$26,1)+1)-INDEX('Shultis Faw'!$F$2:$F$26,MATCH($C479,'Shultis Faw'!$A$2:$A$26,1)))/(INDEX('Shultis Faw'!$A$2:$A$26,MATCH($C479,'Shultis Faw'!$A$2:$A$26,1)+1)-INDEX('Shultis Faw'!$A$2:$A$26,MATCH($C479,'Shultis Faw'!$A$2:$A$26,1))),$C479*'Shultis Faw'!$F$2/'Shultis Faw'!$A$2)</f>
        <v>9.0427855333333351</v>
      </c>
      <c r="N479" s="83">
        <f>J479*(H479*'Externe blootstelling'!$D$23/2)^K479+L479*(TANH(((H479*'Externe blootstelling'!$D$23)/(2*M479))-2)-TANH(-2))/(1-TANH(-2))</f>
        <v>0.4275848388220318</v>
      </c>
      <c r="O479" s="83">
        <f>IF(N479=1,1+(I479-1)*H479*'Externe blootstelling'!$D$23/2,1+(I479-1)*(N479^(H479*'Externe blootstelling'!$D$23/2)-1)/(N479-1))</f>
        <v>0.56522723911111739</v>
      </c>
      <c r="P479" s="67">
        <f>G479*EXP(-H479*'Externe blootstelling'!$D$23/2)*O479</f>
        <v>3.5975172606183047E-46</v>
      </c>
      <c r="Q479" s="68"/>
    </row>
    <row r="480" spans="1:17" x14ac:dyDescent="0.2">
      <c r="A480" s="217"/>
      <c r="B480" s="64" t="s">
        <v>102</v>
      </c>
      <c r="C480" s="66">
        <v>1.0160850000000001E-2</v>
      </c>
      <c r="D480" s="66">
        <f t="shared" si="35"/>
        <v>1.625736E-15</v>
      </c>
      <c r="E480" s="66">
        <v>2.9900000000000003E-2</v>
      </c>
      <c r="F480" s="66">
        <f>_xlfn.IFNA(INDEX('hp (pSv cm2)'!$B$2:$B$52,MATCH($C480,'hp (pSv cm2)'!$A$2:$A$52,1))+($C480-INDEX('hp (pSv cm2)'!$A$2:$A$52,MATCH($C480,'hp (pSv cm2)'!$A$2:$A$52,1)))*(INDEX('hp (pSv cm2)'!$B$2:$B$52,MATCH($C480,'hp (pSv cm2)'!$A$2:$A$52,1)+1)-INDEX('hp (pSv cm2)'!$B$2:$B$52,MATCH($C480,'hp (pSv cm2)'!$A$2:$A$52,1)))/(INDEX('hp (pSv cm2)'!$A$2:$A$52,MATCH($C480,'hp (pSv cm2)'!$A$2:$A$52,1)+1)-INDEX('hp (pSv cm2)'!$A$2:$A$52,MATCH($C480,'hp (pSv cm2)'!$A$2:$A$52,1))),$C480*'hp (pSv cm2)'!$B$2/'hp (pSv cm2)'!$A$2)</f>
        <v>7.143551250000002E-2</v>
      </c>
      <c r="G480" s="67">
        <f t="shared" si="36"/>
        <v>2.1359218237500008E-3</v>
      </c>
      <c r="H480" s="83">
        <f>_xlfn.IFNA(0.997*(INDEX('Mass attenuation coefficients'!$B$2:$B$37,MATCH($C480,'Mass attenuation coefficients'!$A$2:$A$37,1))+($C480-INDEX('Mass attenuation coefficients'!$A$2:$A$37,MATCH($C480,'Mass attenuation coefficients'!$A$2:$A$37,1)))*(INDEX('Mass attenuation coefficients'!$B$2:$B$37,MATCH($C480,'Mass attenuation coefficients'!$A$2:$A$37,1)+1)-INDEX('Mass attenuation coefficients'!$B$2:$B$37,MATCH($C480,'Mass attenuation coefficients'!$A$2:$A$37,1)))/(INDEX('Mass attenuation coefficients'!$A$2:$A$37,MATCH($C480,'Mass attenuation coefficients'!$A$2:$A$37,1)+1)-INDEX('Mass attenuation coefficients'!$A$2:$A$37,MATCH($C480,'Mass attenuation coefficients'!$A$2:$A$37,1)))),0.997*$C480*'Mass attenuation coefficients'!$B$2/'Mass attenuation coefficients'!$A$2)</f>
        <v>5.1957523205599987</v>
      </c>
      <c r="I480" s="83">
        <f>_xlfn.IFNA(INDEX('Shultis Faw'!$C$2:$C$26,MATCH($C480,'Shultis Faw'!$A$2:$A$26,1))+($C480-INDEX('Shultis Faw'!$A$2:$A$26,MATCH($C480,'Shultis Faw'!$A$2:$A$26,1)))*(INDEX('Shultis Faw'!$C$2:$C$26,MATCH($C480,'Shultis Faw'!$A$2:$A$26,1)+1)-INDEX('Shultis Faw'!$C$2:$C$26,MATCH($C480,'Shultis Faw'!$A$2:$A$26,1)))/(INDEX('Shultis Faw'!$A$2:$A$26,MATCH($C480,'Shultis Faw'!$A$2:$A$26,1)+1)-INDEX('Shultis Faw'!$A$2:$A$26,MATCH($C480,'Shultis Faw'!$A$2:$A$26,1))),$C480*'Shultis Faw'!$C$2/'Shultis Faw'!$A$2)</f>
        <v>0.80067498000000015</v>
      </c>
      <c r="J480" s="83">
        <f>_xlfn.IFNA(INDEX('Shultis Faw'!$D$2:$D$26,MATCH($C480,'Shultis Faw'!$A$2:$A$26,1))+($C480-INDEX('Shultis Faw'!$A$2:$A$26,MATCH($C480,'Shultis Faw'!$A$2:$A$26,1)))*(INDEX('Shultis Faw'!$D$2:$D$26,MATCH($C480,'Shultis Faw'!$A$2:$A$26,1)+1)-INDEX('Shultis Faw'!$D$2:$D$26,MATCH($C480,'Shultis Faw'!$A$2:$A$26,1)))/(INDEX('Shultis Faw'!$A$2:$A$26,MATCH($C480,'Shultis Faw'!$A$2:$A$26,1)+1)-INDEX('Shultis Faw'!$A$2:$A$26,MATCH($C480,'Shultis Faw'!$A$2:$A$26,1))),$C480*'Shultis Faw'!$D$2/'Shultis Faw'!$A$2)</f>
        <v>0.31363157000000003</v>
      </c>
      <c r="K480" s="83">
        <f>_xlfn.IFNA(INDEX('Shultis Faw'!$B$2:$B$26,MATCH($C480,'Shultis Faw'!$A$2:$A$26,1))+($C480-INDEX('Shultis Faw'!$A$2:$A$26,MATCH($C480,'Shultis Faw'!$A$2:$A$26,1)))*(INDEX('Shultis Faw'!$B$2:$B$26,MATCH($C480,'Shultis Faw'!$A$2:$A$26,1)+1)-INDEX('Shultis Faw'!$B$2:$B$26,MATCH($C480,'Shultis Faw'!$A$2:$A$26,1)))/(INDEX('Shultis Faw'!$A$2:$A$26,MATCH($C480,'Shultis Faw'!$A$2:$A$26,1)+1)-INDEX('Shultis Faw'!$A$2:$A$26,MATCH($C480,'Shultis Faw'!$A$2:$A$26,1))),$C480*'Shultis Faw'!$B$2/'Shultis Faw'!$A$2)</f>
        <v>0.11651108</v>
      </c>
      <c r="L480" s="83">
        <f>_xlfn.IFNA(INDEX('Shultis Faw'!$E$2:$E$26,MATCH($C480,'Shultis Faw'!$A$2:$A$26,1))+($C480-INDEX('Shultis Faw'!$A$2:$A$26,MATCH($C480,'Shultis Faw'!$A$2:$A$26,1)))*(INDEX('Shultis Faw'!$E$2:$E$26,MATCH($C480,'Shultis Faw'!$A$2:$A$26,1)+1)-INDEX('Shultis Faw'!$E$2:$E$26,MATCH($C480,'Shultis Faw'!$A$2:$A$26,1)))/(INDEX('Shultis Faw'!$A$2:$A$26,MATCH($C480,'Shultis Faw'!$A$2:$A$26,1)+1)-INDEX('Shultis Faw'!$A$2:$A$26,MATCH($C480,'Shultis Faw'!$A$2:$A$26,1))),$C480*'Shultis Faw'!$E$2/'Shultis Faw'!$A$2)</f>
        <v>-6.1507012000000007E-2</v>
      </c>
      <c r="M480" s="83">
        <f>_xlfn.IFNA(INDEX('Shultis Faw'!$F$2:$F$26,MATCH($C480,'Shultis Faw'!$A$2:$A$26,1))+($C480-INDEX('Shultis Faw'!$A$2:$A$26,MATCH($C480,'Shultis Faw'!$A$2:$A$26,1)))*(INDEX('Shultis Faw'!$F$2:$F$26,MATCH($C480,'Shultis Faw'!$A$2:$A$26,1)+1)-INDEX('Shultis Faw'!$F$2:$F$26,MATCH($C480,'Shultis Faw'!$A$2:$A$26,1)))/(INDEX('Shultis Faw'!$A$2:$A$26,MATCH($C480,'Shultis Faw'!$A$2:$A$26,1)+1)-INDEX('Shultis Faw'!$A$2:$A$26,MATCH($C480,'Shultis Faw'!$A$2:$A$26,1))),$C480*'Shultis Faw'!$F$2/'Shultis Faw'!$A$2)</f>
        <v>9.6392597000000002</v>
      </c>
      <c r="N480" s="83">
        <f>J480*(H480*'Externe blootstelling'!$D$23/2)^K480+L480*(TANH(((H480*'Externe blootstelling'!$D$23)/(2*M480))-2)-TANH(-2))/(1-TANH(-2))</f>
        <v>0.45948213695894008</v>
      </c>
      <c r="O480" s="83">
        <f>IF(N480=1,1+(I480-1)*H480*'Externe blootstelling'!$D$23/2,1+(I480-1)*(N480^(H480*'Externe blootstelling'!$D$23/2)-1)/(N480-1))</f>
        <v>0.6312332419902682</v>
      </c>
      <c r="P480" s="67">
        <f>G480*EXP(-H480*'Externe blootstelling'!$D$23/2)*O480</f>
        <v>1.916358610698697E-37</v>
      </c>
      <c r="Q480" s="68"/>
    </row>
    <row r="481" spans="1:17" x14ac:dyDescent="0.2">
      <c r="A481" s="217"/>
      <c r="B481" s="64" t="s">
        <v>102</v>
      </c>
      <c r="C481" s="66">
        <v>5.7982300000000001E-2</v>
      </c>
      <c r="D481" s="66">
        <f t="shared" si="35"/>
        <v>9.2771679999999996E-15</v>
      </c>
      <c r="E481" s="66">
        <v>1.736E-2</v>
      </c>
      <c r="F481" s="66">
        <f>_xlfn.IFNA(INDEX('hp (pSv cm2)'!$B$2:$B$52,MATCH($C481,'hp (pSv cm2)'!$A$2:$A$52,1))+($C481-INDEX('hp (pSv cm2)'!$A$2:$A$52,MATCH($C481,'hp (pSv cm2)'!$A$2:$A$52,1)))*(INDEX('hp (pSv cm2)'!$B$2:$B$52,MATCH($C481,'hp (pSv cm2)'!$A$2:$A$52,1)+1)-INDEX('hp (pSv cm2)'!$B$2:$B$52,MATCH($C481,'hp (pSv cm2)'!$A$2:$A$52,1)))/(INDEX('hp (pSv cm2)'!$A$2:$A$52,MATCH($C481,'hp (pSv cm2)'!$A$2:$A$52,1)+1)-INDEX('hp (pSv cm2)'!$A$2:$A$52,MATCH($C481,'hp (pSv cm2)'!$A$2:$A$52,1))),$C481*'hp (pSv cm2)'!$B$2/'hp (pSv cm2)'!$A$2)</f>
        <v>0.38496459999999999</v>
      </c>
      <c r="G481" s="67">
        <f t="shared" si="36"/>
        <v>6.6829854559999997E-3</v>
      </c>
      <c r="H481" s="83">
        <f>_xlfn.IFNA(0.997*(INDEX('Mass attenuation coefficients'!$B$2:$B$37,MATCH($C481,'Mass attenuation coefficients'!$A$2:$A$37,1))+($C481-INDEX('Mass attenuation coefficients'!$A$2:$A$37,MATCH($C481,'Mass attenuation coefficients'!$A$2:$A$37,1)))*(INDEX('Mass attenuation coefficients'!$B$2:$B$37,MATCH($C481,'Mass attenuation coefficients'!$A$2:$A$37,1)+1)-INDEX('Mass attenuation coefficients'!$B$2:$B$37,MATCH($C481,'Mass attenuation coefficients'!$A$2:$A$37,1)))/(INDEX('Mass attenuation coefficients'!$A$2:$A$37,MATCH($C481,'Mass attenuation coefficients'!$A$2:$A$37,1)+1)-INDEX('Mass attenuation coefficients'!$A$2:$A$37,MATCH($C481,'Mass attenuation coefficients'!$A$2:$A$37,1)))),0.997*$C481*'Mass attenuation coefficients'!$B$2/'Mass attenuation coefficients'!$A$2)</f>
        <v>0.20950675848999997</v>
      </c>
      <c r="I481" s="83">
        <f>_xlfn.IFNA(INDEX('Shultis Faw'!$C$2:$C$26,MATCH($C481,'Shultis Faw'!$A$2:$A$26,1))+($C481-INDEX('Shultis Faw'!$A$2:$A$26,MATCH($C481,'Shultis Faw'!$A$2:$A$26,1)))*(INDEX('Shultis Faw'!$C$2:$C$26,MATCH($C481,'Shultis Faw'!$A$2:$A$26,1)+1)-INDEX('Shultis Faw'!$C$2:$C$26,MATCH($C481,'Shultis Faw'!$A$2:$A$26,1)))/(INDEX('Shultis Faw'!$A$2:$A$26,MATCH($C481,'Shultis Faw'!$A$2:$A$26,1)+1)-INDEX('Shultis Faw'!$A$2:$A$26,MATCH($C481,'Shultis Faw'!$A$2:$A$26,1))),$C481*'Shultis Faw'!$C$2/'Shultis Faw'!$A$2)</f>
        <v>4.8776760599999998</v>
      </c>
      <c r="J481" s="83">
        <f>_xlfn.IFNA(INDEX('Shultis Faw'!$D$2:$D$26,MATCH($C481,'Shultis Faw'!$A$2:$A$26,1))+($C481-INDEX('Shultis Faw'!$A$2:$A$26,MATCH($C481,'Shultis Faw'!$A$2:$A$26,1)))*(INDEX('Shultis Faw'!$D$2:$D$26,MATCH($C481,'Shultis Faw'!$A$2:$A$26,1)+1)-INDEX('Shultis Faw'!$D$2:$D$26,MATCH($C481,'Shultis Faw'!$A$2:$A$26,1)))/(INDEX('Shultis Faw'!$A$2:$A$26,MATCH($C481,'Shultis Faw'!$A$2:$A$26,1)+1)-INDEX('Shultis Faw'!$A$2:$A$26,MATCH($C481,'Shultis Faw'!$A$2:$A$26,1))),$C481*'Shultis Faw'!$D$2/'Shultis Faw'!$A$2)</f>
        <v>1.6749167900000002</v>
      </c>
      <c r="K481" s="83">
        <f>_xlfn.IFNA(INDEX('Shultis Faw'!$B$2:$B$26,MATCH($C481,'Shultis Faw'!$A$2:$A$26,1))+($C481-INDEX('Shultis Faw'!$A$2:$A$26,MATCH($C481,'Shultis Faw'!$A$2:$A$26,1)))*(INDEX('Shultis Faw'!$B$2:$B$26,MATCH($C481,'Shultis Faw'!$A$2:$A$26,1)+1)-INDEX('Shultis Faw'!$B$2:$B$26,MATCH($C481,'Shultis Faw'!$A$2:$A$26,1)))/(INDEX('Shultis Faw'!$A$2:$A$26,MATCH($C481,'Shultis Faw'!$A$2:$A$26,1)+1)-INDEX('Shultis Faw'!$A$2:$A$26,MATCH($C481,'Shultis Faw'!$A$2:$A$26,1))),$C481*'Shultis Faw'!$B$2/'Shultis Faw'!$A$2)</f>
        <v>-0.11752566</v>
      </c>
      <c r="L481" s="83">
        <f>_xlfn.IFNA(INDEX('Shultis Faw'!$E$2:$E$26,MATCH($C481,'Shultis Faw'!$A$2:$A$26,1))+($C481-INDEX('Shultis Faw'!$A$2:$A$26,MATCH($C481,'Shultis Faw'!$A$2:$A$26,1)))*(INDEX('Shultis Faw'!$E$2:$E$26,MATCH($C481,'Shultis Faw'!$A$2:$A$26,1)+1)-INDEX('Shultis Faw'!$E$2:$E$26,MATCH($C481,'Shultis Faw'!$A$2:$A$26,1)))/(INDEX('Shultis Faw'!$A$2:$A$26,MATCH($C481,'Shultis Faw'!$A$2:$A$26,1)+1)-INDEX('Shultis Faw'!$A$2:$A$26,MATCH($C481,'Shultis Faw'!$A$2:$A$26,1))),$C481*'Shultis Faw'!$E$2/'Shultis Faw'!$A$2)</f>
        <v>5.1661060000000002E-2</v>
      </c>
      <c r="M481" s="83">
        <f>_xlfn.IFNA(INDEX('Shultis Faw'!$F$2:$F$26,MATCH($C481,'Shultis Faw'!$A$2:$A$26,1))+($C481-INDEX('Shultis Faw'!$A$2:$A$26,MATCH($C481,'Shultis Faw'!$A$2:$A$26,1)))*(INDEX('Shultis Faw'!$F$2:$F$26,MATCH($C481,'Shultis Faw'!$A$2:$A$26,1)+1)-INDEX('Shultis Faw'!$F$2:$F$26,MATCH($C481,'Shultis Faw'!$A$2:$A$26,1)))/(INDEX('Shultis Faw'!$A$2:$A$26,MATCH($C481,'Shultis Faw'!$A$2:$A$26,1)+1)-INDEX('Shultis Faw'!$A$2:$A$26,MATCH($C481,'Shultis Faw'!$A$2:$A$26,1))),$C481*'Shultis Faw'!$F$2/'Shultis Faw'!$A$2)</f>
        <v>13.635964599999999</v>
      </c>
      <c r="N481" s="83">
        <f>J481*(H481*'Externe blootstelling'!$D$23/2)^K481+L481*(TANH(((H481*'Externe blootstelling'!$D$23)/(2*M481))-2)-TANH(-2))/(1-TANH(-2))</f>
        <v>1.464565063777123</v>
      </c>
      <c r="O481" s="83">
        <f>IF(N481=1,1+(I481-1)*H481*'Externe blootstelling'!$D$23/2,1+(I481-1)*(N481^(H481*'Externe blootstelling'!$D$23/2)-1)/(N481-1))</f>
        <v>20.340446983845133</v>
      </c>
      <c r="P481" s="67">
        <f>G481*EXP(-H481*'Externe blootstelling'!$D$23/2)*O481</f>
        <v>5.8683576104168727E-3</v>
      </c>
      <c r="Q481" s="68"/>
    </row>
    <row r="482" spans="1:17" x14ac:dyDescent="0.2">
      <c r="A482" s="217"/>
      <c r="B482" s="64" t="s">
        <v>102</v>
      </c>
      <c r="C482" s="66">
        <v>5.9318900000000001E-2</v>
      </c>
      <c r="D482" s="66">
        <f t="shared" si="35"/>
        <v>9.4910239999999994E-15</v>
      </c>
      <c r="E482" s="66">
        <v>3.0200000000000001E-2</v>
      </c>
      <c r="F482" s="66">
        <f>_xlfn.IFNA(INDEX('hp (pSv cm2)'!$B$2:$B$52,MATCH($C482,'hp (pSv cm2)'!$A$2:$A$52,1))+($C482-INDEX('hp (pSv cm2)'!$A$2:$A$52,MATCH($C482,'hp (pSv cm2)'!$A$2:$A$52,1)))*(INDEX('hp (pSv cm2)'!$B$2:$B$52,MATCH($C482,'hp (pSv cm2)'!$A$2:$A$52,1)+1)-INDEX('hp (pSv cm2)'!$B$2:$B$52,MATCH($C482,'hp (pSv cm2)'!$A$2:$A$52,1)))/(INDEX('hp (pSv cm2)'!$A$2:$A$52,MATCH($C482,'hp (pSv cm2)'!$A$2:$A$52,1)+1)-INDEX('hp (pSv cm2)'!$A$2:$A$52,MATCH($C482,'hp (pSv cm2)'!$A$2:$A$52,1))),$C482*'hp (pSv cm2)'!$B$2/'hp (pSv cm2)'!$A$2)</f>
        <v>0.38763780000000003</v>
      </c>
      <c r="G482" s="67">
        <f t="shared" si="36"/>
        <v>1.1706661560000001E-2</v>
      </c>
      <c r="H482" s="83">
        <f>_xlfn.IFNA(0.997*(INDEX('Mass attenuation coefficients'!$B$2:$B$37,MATCH($C482,'Mass attenuation coefficients'!$A$2:$A$37,1))+($C482-INDEX('Mass attenuation coefficients'!$A$2:$A$37,MATCH($C482,'Mass attenuation coefficients'!$A$2:$A$37,1)))*(INDEX('Mass attenuation coefficients'!$B$2:$B$37,MATCH($C482,'Mass attenuation coefficients'!$A$2:$A$37,1)+1)-INDEX('Mass attenuation coefficients'!$B$2:$B$37,MATCH($C482,'Mass attenuation coefficients'!$A$2:$A$37,1)))/(INDEX('Mass attenuation coefficients'!$A$2:$A$37,MATCH($C482,'Mass attenuation coefficients'!$A$2:$A$37,1)+1)-INDEX('Mass attenuation coefficients'!$A$2:$A$37,MATCH($C482,'Mass attenuation coefficients'!$A$2:$A$37,1)))),0.997*$C482*'Mass attenuation coefficients'!$B$2/'Mass attenuation coefficients'!$A$2)</f>
        <v>0.20670831906999998</v>
      </c>
      <c r="I482" s="83">
        <f>_xlfn.IFNA(INDEX('Shultis Faw'!$C$2:$C$26,MATCH($C482,'Shultis Faw'!$A$2:$A$26,1))+($C482-INDEX('Shultis Faw'!$A$2:$A$26,MATCH($C482,'Shultis Faw'!$A$2:$A$26,1)))*(INDEX('Shultis Faw'!$C$2:$C$26,MATCH($C482,'Shultis Faw'!$A$2:$A$26,1)+1)-INDEX('Shultis Faw'!$C$2:$C$26,MATCH($C482,'Shultis Faw'!$A$2:$A$26,1)))/(INDEX('Shultis Faw'!$A$2:$A$26,MATCH($C482,'Shultis Faw'!$A$2:$A$26,1)+1)-INDEX('Shultis Faw'!$A$2:$A$26,MATCH($C482,'Shultis Faw'!$A$2:$A$26,1))),$C482*'Shultis Faw'!$C$2/'Shultis Faw'!$A$2)</f>
        <v>4.9474465799999994</v>
      </c>
      <c r="J482" s="83">
        <f>_xlfn.IFNA(INDEX('Shultis Faw'!$D$2:$D$26,MATCH($C482,'Shultis Faw'!$A$2:$A$26,1))+($C482-INDEX('Shultis Faw'!$A$2:$A$26,MATCH($C482,'Shultis Faw'!$A$2:$A$26,1)))*(INDEX('Shultis Faw'!$D$2:$D$26,MATCH($C482,'Shultis Faw'!$A$2:$A$26,1)+1)-INDEX('Shultis Faw'!$D$2:$D$26,MATCH($C482,'Shultis Faw'!$A$2:$A$26,1)))/(INDEX('Shultis Faw'!$A$2:$A$26,MATCH($C482,'Shultis Faw'!$A$2:$A$26,1)+1)-INDEX('Shultis Faw'!$A$2:$A$26,MATCH($C482,'Shultis Faw'!$A$2:$A$26,1))),$C482*'Shultis Faw'!$D$2/'Shultis Faw'!$A$2)</f>
        <v>1.7114059699999999</v>
      </c>
      <c r="K482" s="83">
        <f>_xlfn.IFNA(INDEX('Shultis Faw'!$B$2:$B$26,MATCH($C482,'Shultis Faw'!$A$2:$A$26,1))+($C482-INDEX('Shultis Faw'!$A$2:$A$26,MATCH($C482,'Shultis Faw'!$A$2:$A$26,1)))*(INDEX('Shultis Faw'!$B$2:$B$26,MATCH($C482,'Shultis Faw'!$A$2:$A$26,1)+1)-INDEX('Shultis Faw'!$B$2:$B$26,MATCH($C482,'Shultis Faw'!$A$2:$A$26,1)))/(INDEX('Shultis Faw'!$A$2:$A$26,MATCH($C482,'Shultis Faw'!$A$2:$A$26,1)+1)-INDEX('Shultis Faw'!$A$2:$A$26,MATCH($C482,'Shultis Faw'!$A$2:$A$26,1))),$C482*'Shultis Faw'!$B$2/'Shultis Faw'!$A$2)</f>
        <v>-0.12313938000000002</v>
      </c>
      <c r="L482" s="83">
        <f>_xlfn.IFNA(INDEX('Shultis Faw'!$E$2:$E$26,MATCH($C482,'Shultis Faw'!$A$2:$A$26,1))+($C482-INDEX('Shultis Faw'!$A$2:$A$26,MATCH($C482,'Shultis Faw'!$A$2:$A$26,1)))*(INDEX('Shultis Faw'!$E$2:$E$26,MATCH($C482,'Shultis Faw'!$A$2:$A$26,1)+1)-INDEX('Shultis Faw'!$E$2:$E$26,MATCH($C482,'Shultis Faw'!$A$2:$A$26,1)))/(INDEX('Shultis Faw'!$A$2:$A$26,MATCH($C482,'Shultis Faw'!$A$2:$A$26,1)+1)-INDEX('Shultis Faw'!$A$2:$A$26,MATCH($C482,'Shultis Faw'!$A$2:$A$26,1))),$C482*'Shultis Faw'!$E$2/'Shultis Faw'!$A$2)</f>
        <v>5.4601580000000004E-2</v>
      </c>
      <c r="M482" s="83">
        <f>_xlfn.IFNA(INDEX('Shultis Faw'!$F$2:$F$26,MATCH($C482,'Shultis Faw'!$A$2:$A$26,1))+($C482-INDEX('Shultis Faw'!$A$2:$A$26,MATCH($C482,'Shultis Faw'!$A$2:$A$26,1)))*(INDEX('Shultis Faw'!$F$2:$F$26,MATCH($C482,'Shultis Faw'!$A$2:$A$26,1)+1)-INDEX('Shultis Faw'!$F$2:$F$26,MATCH($C482,'Shultis Faw'!$A$2:$A$26,1)))/(INDEX('Shultis Faw'!$A$2:$A$26,MATCH($C482,'Shultis Faw'!$A$2:$A$26,1)+1)-INDEX('Shultis Faw'!$A$2:$A$26,MATCH($C482,'Shultis Faw'!$A$2:$A$26,1))),$C482*'Shultis Faw'!$F$2/'Shultis Faw'!$A$2)</f>
        <v>13.6386378</v>
      </c>
      <c r="N482" s="83">
        <f>J482*(H482*'Externe blootstelling'!$D$23/2)^K482+L482*(TANH(((H482*'Externe blootstelling'!$D$23)/(2*M482))-2)-TANH(-2))/(1-TANH(-2))</f>
        <v>1.4893593238085463</v>
      </c>
      <c r="O482" s="83">
        <f>IF(N482=1,1+(I482-1)*H482*'Externe blootstelling'!$D$23/2,1+(I482-1)*(N482^(H482*'Externe blootstelling'!$D$23/2)-1)/(N482-1))</f>
        <v>20.672701127961155</v>
      </c>
      <c r="P482" s="67">
        <f>G482*EXP(-H482*'Externe blootstelling'!$D$23/2)*O482</f>
        <v>1.0895472126012743E-2</v>
      </c>
      <c r="Q482" s="68"/>
    </row>
    <row r="483" spans="1:17" x14ac:dyDescent="0.2">
      <c r="A483" s="217"/>
      <c r="B483" s="64" t="s">
        <v>102</v>
      </c>
      <c r="C483" s="66">
        <v>6.1487299999999995E-2</v>
      </c>
      <c r="D483" s="66">
        <f t="shared" si="35"/>
        <v>9.8379679999999988E-15</v>
      </c>
      <c r="E483" s="66">
        <v>1.1299999999999999E-2</v>
      </c>
      <c r="F483" s="66">
        <f>_xlfn.IFNA(INDEX('hp (pSv cm2)'!$B$2:$B$52,MATCH($C483,'hp (pSv cm2)'!$A$2:$A$52,1))+($C483-INDEX('hp (pSv cm2)'!$A$2:$A$52,MATCH($C483,'hp (pSv cm2)'!$A$2:$A$52,1)))*(INDEX('hp (pSv cm2)'!$B$2:$B$52,MATCH($C483,'hp (pSv cm2)'!$A$2:$A$52,1)+1)-INDEX('hp (pSv cm2)'!$B$2:$B$52,MATCH($C483,'hp (pSv cm2)'!$A$2:$A$52,1)))/(INDEX('hp (pSv cm2)'!$A$2:$A$52,MATCH($C483,'hp (pSv cm2)'!$A$2:$A$52,1)+1)-INDEX('hp (pSv cm2)'!$A$2:$A$52,MATCH($C483,'hp (pSv cm2)'!$A$2:$A$52,1))),$C483*'hp (pSv cm2)'!$B$2/'hp (pSv cm2)'!$A$2)</f>
        <v>0.39227205999999998</v>
      </c>
      <c r="G483" s="67">
        <f t="shared" si="36"/>
        <v>4.4326742779999991E-3</v>
      </c>
      <c r="H483" s="83">
        <f>_xlfn.IFNA(0.997*(INDEX('Mass attenuation coefficients'!$B$2:$B$37,MATCH($C483,'Mass attenuation coefficients'!$A$2:$A$37,1))+($C483-INDEX('Mass attenuation coefficients'!$A$2:$A$37,MATCH($C483,'Mass attenuation coefficients'!$A$2:$A$37,1)))*(INDEX('Mass attenuation coefficients'!$B$2:$B$37,MATCH($C483,'Mass attenuation coefficients'!$A$2:$A$37,1)+1)-INDEX('Mass attenuation coefficients'!$B$2:$B$37,MATCH($C483,'Mass attenuation coefficients'!$A$2:$A$37,1)))/(INDEX('Mass attenuation coefficients'!$A$2:$A$37,MATCH($C483,'Mass attenuation coefficients'!$A$2:$A$37,1)+1)-INDEX('Mass attenuation coefficients'!$A$2:$A$37,MATCH($C483,'Mass attenuation coefficients'!$A$2:$A$37,1)))),0.997*$C483*'Mass attenuation coefficients'!$B$2/'Mass attenuation coefficients'!$A$2)</f>
        <v>0.20363634970899999</v>
      </c>
      <c r="I483" s="83">
        <f>_xlfn.IFNA(INDEX('Shultis Faw'!$C$2:$C$26,MATCH($C483,'Shultis Faw'!$A$2:$A$26,1))+($C483-INDEX('Shultis Faw'!$A$2:$A$26,MATCH($C483,'Shultis Faw'!$A$2:$A$26,1)))*(INDEX('Shultis Faw'!$C$2:$C$26,MATCH($C483,'Shultis Faw'!$A$2:$A$26,1)+1)-INDEX('Shultis Faw'!$C$2:$C$26,MATCH($C483,'Shultis Faw'!$A$2:$A$26,1)))/(INDEX('Shultis Faw'!$A$2:$A$26,MATCH($C483,'Shultis Faw'!$A$2:$A$26,1)+1)-INDEX('Shultis Faw'!$A$2:$A$26,MATCH($C483,'Shultis Faw'!$A$2:$A$26,1))),$C483*'Shultis Faw'!$C$2/'Shultis Faw'!$A$2)</f>
        <v>4.9886517399999999</v>
      </c>
      <c r="J483" s="83">
        <f>_xlfn.IFNA(INDEX('Shultis Faw'!$D$2:$D$26,MATCH($C483,'Shultis Faw'!$A$2:$A$26,1))+($C483-INDEX('Shultis Faw'!$A$2:$A$26,MATCH($C483,'Shultis Faw'!$A$2:$A$26,1)))*(INDEX('Shultis Faw'!$D$2:$D$26,MATCH($C483,'Shultis Faw'!$A$2:$A$26,1)+1)-INDEX('Shultis Faw'!$D$2:$D$26,MATCH($C483,'Shultis Faw'!$A$2:$A$26,1)))/(INDEX('Shultis Faw'!$A$2:$A$26,MATCH($C483,'Shultis Faw'!$A$2:$A$26,1)+1)-INDEX('Shultis Faw'!$A$2:$A$26,MATCH($C483,'Shultis Faw'!$A$2:$A$26,1))),$C483*'Shultis Faw'!$D$2/'Shultis Faw'!$A$2)</f>
        <v>1.754466085</v>
      </c>
      <c r="K483" s="83">
        <f>_xlfn.IFNA(INDEX('Shultis Faw'!$B$2:$B$26,MATCH($C483,'Shultis Faw'!$A$2:$A$26,1))+($C483-INDEX('Shultis Faw'!$A$2:$A$26,MATCH($C483,'Shultis Faw'!$A$2:$A$26,1)))*(INDEX('Shultis Faw'!$B$2:$B$26,MATCH($C483,'Shultis Faw'!$A$2:$A$26,1)+1)-INDEX('Shultis Faw'!$B$2:$B$26,MATCH($C483,'Shultis Faw'!$A$2:$A$26,1)))/(INDEX('Shultis Faw'!$A$2:$A$26,MATCH($C483,'Shultis Faw'!$A$2:$A$26,1)+1)-INDEX('Shultis Faw'!$A$2:$A$26,MATCH($C483,'Shultis Faw'!$A$2:$A$26,1))),$C483*'Shultis Faw'!$B$2/'Shultis Faw'!$A$2)</f>
        <v>-0.12912332999999998</v>
      </c>
      <c r="L483" s="83">
        <f>_xlfn.IFNA(INDEX('Shultis Faw'!$E$2:$E$26,MATCH($C483,'Shultis Faw'!$A$2:$A$26,1))+($C483-INDEX('Shultis Faw'!$A$2:$A$26,MATCH($C483,'Shultis Faw'!$A$2:$A$26,1)))*(INDEX('Shultis Faw'!$E$2:$E$26,MATCH($C483,'Shultis Faw'!$A$2:$A$26,1)+1)-INDEX('Shultis Faw'!$E$2:$E$26,MATCH($C483,'Shultis Faw'!$A$2:$A$26,1)))/(INDEX('Shultis Faw'!$A$2:$A$26,MATCH($C483,'Shultis Faw'!$A$2:$A$26,1)+1)-INDEX('Shultis Faw'!$A$2:$A$26,MATCH($C483,'Shultis Faw'!$A$2:$A$26,1))),$C483*'Shultis Faw'!$E$2/'Shultis Faw'!$A$2)</f>
        <v>5.7654228499999995E-2</v>
      </c>
      <c r="M483" s="83">
        <f>_xlfn.IFNA(INDEX('Shultis Faw'!$F$2:$F$26,MATCH($C483,'Shultis Faw'!$A$2:$A$26,1))+($C483-INDEX('Shultis Faw'!$A$2:$A$26,MATCH($C483,'Shultis Faw'!$A$2:$A$26,1)))*(INDEX('Shultis Faw'!$F$2:$F$26,MATCH($C483,'Shultis Faw'!$A$2:$A$26,1)+1)-INDEX('Shultis Faw'!$F$2:$F$26,MATCH($C483,'Shultis Faw'!$A$2:$A$26,1)))/(INDEX('Shultis Faw'!$A$2:$A$26,MATCH($C483,'Shultis Faw'!$A$2:$A$26,1)+1)-INDEX('Shultis Faw'!$A$2:$A$26,MATCH($C483,'Shultis Faw'!$A$2:$A$26,1))),$C483*'Shultis Faw'!$F$2/'Shultis Faw'!$A$2)</f>
        <v>13.64223095</v>
      </c>
      <c r="N483" s="83">
        <f>J483*(H483*'Externe blootstelling'!$D$23/2)^K483+L483*(TANH(((H483*'Externe blootstelling'!$D$23)/(2*M483))-2)-TANH(-2))/(1-TANH(-2))</f>
        <v>1.519472461903066</v>
      </c>
      <c r="O483" s="83">
        <f>IF(N483=1,1+(I483-1)*H483*'Externe blootstelling'!$D$23/2,1+(I483-1)*(N483^(H483*'Externe blootstelling'!$D$23/2)-1)/(N483-1))</f>
        <v>20.880035573954327</v>
      </c>
      <c r="P483" s="67">
        <f>G483*EXP(-H483*'Externe blootstelling'!$D$23/2)*O483</f>
        <v>4.3633988111771689E-3</v>
      </c>
      <c r="Q483" s="68"/>
    </row>
    <row r="484" spans="1:17" x14ac:dyDescent="0.2">
      <c r="A484" s="217"/>
      <c r="B484" s="64" t="s">
        <v>102</v>
      </c>
      <c r="C484" s="66">
        <v>6.3001100000000004E-2</v>
      </c>
      <c r="D484" s="66">
        <f t="shared" si="35"/>
        <v>1.0080176000000001E-14</v>
      </c>
      <c r="E484" s="66">
        <v>1.9400000000000001E-2</v>
      </c>
      <c r="F484" s="66">
        <f>_xlfn.IFNA(INDEX('hp (pSv cm2)'!$B$2:$B$52,MATCH($C484,'hp (pSv cm2)'!$A$2:$A$52,1))+($C484-INDEX('hp (pSv cm2)'!$A$2:$A$52,MATCH($C484,'hp (pSv cm2)'!$A$2:$A$52,1)))*(INDEX('hp (pSv cm2)'!$B$2:$B$52,MATCH($C484,'hp (pSv cm2)'!$A$2:$A$52,1)+1)-INDEX('hp (pSv cm2)'!$B$2:$B$52,MATCH($C484,'hp (pSv cm2)'!$A$2:$A$52,1)))/(INDEX('hp (pSv cm2)'!$A$2:$A$52,MATCH($C484,'hp (pSv cm2)'!$A$2:$A$52,1)+1)-INDEX('hp (pSv cm2)'!$A$2:$A$52,MATCH($C484,'hp (pSv cm2)'!$A$2:$A$52,1))),$C484*'hp (pSv cm2)'!$B$2/'hp (pSv cm2)'!$A$2)</f>
        <v>0.39560242000000001</v>
      </c>
      <c r="G484" s="67">
        <f t="shared" si="36"/>
        <v>7.6746869480000006E-3</v>
      </c>
      <c r="H484" s="83">
        <f>_xlfn.IFNA(0.997*(INDEX('Mass attenuation coefficients'!$B$2:$B$37,MATCH($C484,'Mass attenuation coefficients'!$A$2:$A$37,1))+($C484-INDEX('Mass attenuation coefficients'!$A$2:$A$37,MATCH($C484,'Mass attenuation coefficients'!$A$2:$A$37,1)))*(INDEX('Mass attenuation coefficients'!$B$2:$B$37,MATCH($C484,'Mass attenuation coefficients'!$A$2:$A$37,1)+1)-INDEX('Mass attenuation coefficients'!$B$2:$B$37,MATCH($C484,'Mass attenuation coefficients'!$A$2:$A$37,1)))/(INDEX('Mass attenuation coefficients'!$A$2:$A$37,MATCH($C484,'Mass attenuation coefficients'!$A$2:$A$37,1)+1)-INDEX('Mass attenuation coefficients'!$A$2:$A$37,MATCH($C484,'Mass attenuation coefficients'!$A$2:$A$37,1)))),0.997*$C484*'Mass attenuation coefficients'!$B$2/'Mass attenuation coefficients'!$A$2)</f>
        <v>0.20196107266300001</v>
      </c>
      <c r="I484" s="83">
        <f>_xlfn.IFNA(INDEX('Shultis Faw'!$C$2:$C$26,MATCH($C484,'Shultis Faw'!$A$2:$A$26,1))+($C484-INDEX('Shultis Faw'!$A$2:$A$26,MATCH($C484,'Shultis Faw'!$A$2:$A$26,1)))*(INDEX('Shultis Faw'!$C$2:$C$26,MATCH($C484,'Shultis Faw'!$A$2:$A$26,1)+1)-INDEX('Shultis Faw'!$C$2:$C$26,MATCH($C484,'Shultis Faw'!$A$2:$A$26,1)))/(INDEX('Shultis Faw'!$A$2:$A$26,MATCH($C484,'Shultis Faw'!$A$2:$A$26,1)+1)-INDEX('Shultis Faw'!$A$2:$A$26,MATCH($C484,'Shultis Faw'!$A$2:$A$26,1))),$C484*'Shultis Faw'!$C$2/'Shultis Faw'!$A$2)</f>
        <v>4.9944041800000001</v>
      </c>
      <c r="J484" s="83">
        <f>_xlfn.IFNA(INDEX('Shultis Faw'!$D$2:$D$26,MATCH($C484,'Shultis Faw'!$A$2:$A$26,1))+($C484-INDEX('Shultis Faw'!$A$2:$A$26,MATCH($C484,'Shultis Faw'!$A$2:$A$26,1)))*(INDEX('Shultis Faw'!$D$2:$D$26,MATCH($C484,'Shultis Faw'!$A$2:$A$26,1)+1)-INDEX('Shultis Faw'!$D$2:$D$26,MATCH($C484,'Shultis Faw'!$A$2:$A$26,1)))/(INDEX('Shultis Faw'!$A$2:$A$26,MATCH($C484,'Shultis Faw'!$A$2:$A$26,1)+1)-INDEX('Shultis Faw'!$A$2:$A$26,MATCH($C484,'Shultis Faw'!$A$2:$A$26,1))),$C484*'Shultis Faw'!$D$2/'Shultis Faw'!$A$2)</f>
        <v>1.7793680950000001</v>
      </c>
      <c r="K484" s="83">
        <f>_xlfn.IFNA(INDEX('Shultis Faw'!$B$2:$B$26,MATCH($C484,'Shultis Faw'!$A$2:$A$26,1))+($C484-INDEX('Shultis Faw'!$A$2:$A$26,MATCH($C484,'Shultis Faw'!$A$2:$A$26,1)))*(INDEX('Shultis Faw'!$B$2:$B$26,MATCH($C484,'Shultis Faw'!$A$2:$A$26,1)+1)-INDEX('Shultis Faw'!$B$2:$B$26,MATCH($C484,'Shultis Faw'!$A$2:$A$26,1)))/(INDEX('Shultis Faw'!$A$2:$A$26,MATCH($C484,'Shultis Faw'!$A$2:$A$26,1)+1)-INDEX('Shultis Faw'!$A$2:$A$26,MATCH($C484,'Shultis Faw'!$A$2:$A$26,1))),$C484*'Shultis Faw'!$B$2/'Shultis Faw'!$A$2)</f>
        <v>-0.13230231000000001</v>
      </c>
      <c r="L484" s="83">
        <f>_xlfn.IFNA(INDEX('Shultis Faw'!$E$2:$E$26,MATCH($C484,'Shultis Faw'!$A$2:$A$26,1))+($C484-INDEX('Shultis Faw'!$A$2:$A$26,MATCH($C484,'Shultis Faw'!$A$2:$A$26,1)))*(INDEX('Shultis Faw'!$E$2:$E$26,MATCH($C484,'Shultis Faw'!$A$2:$A$26,1)+1)-INDEX('Shultis Faw'!$E$2:$E$26,MATCH($C484,'Shultis Faw'!$A$2:$A$26,1)))/(INDEX('Shultis Faw'!$A$2:$A$26,MATCH($C484,'Shultis Faw'!$A$2:$A$26,1)+1)-INDEX('Shultis Faw'!$A$2:$A$26,MATCH($C484,'Shultis Faw'!$A$2:$A$26,1))),$C484*'Shultis Faw'!$E$2/'Shultis Faw'!$A$2)</f>
        <v>5.9236149500000002E-2</v>
      </c>
      <c r="M484" s="83">
        <f>_xlfn.IFNA(INDEX('Shultis Faw'!$F$2:$F$26,MATCH($C484,'Shultis Faw'!$A$2:$A$26,1))+($C484-INDEX('Shultis Faw'!$A$2:$A$26,MATCH($C484,'Shultis Faw'!$A$2:$A$26,1)))*(INDEX('Shultis Faw'!$F$2:$F$26,MATCH($C484,'Shultis Faw'!$A$2:$A$26,1)+1)-INDEX('Shultis Faw'!$F$2:$F$26,MATCH($C484,'Shultis Faw'!$A$2:$A$26,1)))/(INDEX('Shultis Faw'!$A$2:$A$26,MATCH($C484,'Shultis Faw'!$A$2:$A$26,1)+1)-INDEX('Shultis Faw'!$A$2:$A$26,MATCH($C484,'Shultis Faw'!$A$2:$A$26,1))),$C484*'Shultis Faw'!$F$2/'Shultis Faw'!$A$2)</f>
        <v>13.64450165</v>
      </c>
      <c r="N484" s="83">
        <f>J484*(H484*'Externe blootstelling'!$D$23/2)^K484+L484*(TANH(((H484*'Externe blootstelling'!$D$23)/(2*M484))-2)-TANH(-2))/(1-TANH(-2))</f>
        <v>1.5372606770667412</v>
      </c>
      <c r="O484" s="83">
        <f>IF(N484=1,1+(I484-1)*H484*'Externe blootstelling'!$D$23/2,1+(I484-1)*(N484^(H484*'Externe blootstelling'!$D$23/2)-1)/(N484-1))</f>
        <v>20.918109216716246</v>
      </c>
      <c r="P484" s="67">
        <f>G484*EXP(-H484*'Externe blootstelling'!$D$23/2)*O484</f>
        <v>7.7611201085520153E-3</v>
      </c>
      <c r="Q484" s="68"/>
    </row>
    <row r="485" spans="1:17" x14ac:dyDescent="0.2">
      <c r="A485" s="217"/>
      <c r="B485" s="64" t="s">
        <v>102</v>
      </c>
      <c r="C485" s="66">
        <v>6.7287E-2</v>
      </c>
      <c r="D485" s="66">
        <f t="shared" si="35"/>
        <v>1.0765919999999999E-14</v>
      </c>
      <c r="E485" s="66">
        <v>0.01</v>
      </c>
      <c r="F485" s="66">
        <f>_xlfn.IFNA(INDEX('hp (pSv cm2)'!$B$2:$B$52,MATCH($C485,'hp (pSv cm2)'!$A$2:$A$52,1))+($C485-INDEX('hp (pSv cm2)'!$A$2:$A$52,MATCH($C485,'hp (pSv cm2)'!$A$2:$A$52,1)))*(INDEX('hp (pSv cm2)'!$B$2:$B$52,MATCH($C485,'hp (pSv cm2)'!$A$2:$A$52,1)+1)-INDEX('hp (pSv cm2)'!$B$2:$B$52,MATCH($C485,'hp (pSv cm2)'!$A$2:$A$52,1)))/(INDEX('hp (pSv cm2)'!$A$2:$A$52,MATCH($C485,'hp (pSv cm2)'!$A$2:$A$52,1)+1)-INDEX('hp (pSv cm2)'!$A$2:$A$52,MATCH($C485,'hp (pSv cm2)'!$A$2:$A$52,1))),$C485*'hp (pSv cm2)'!$B$2/'hp (pSv cm2)'!$A$2)</f>
        <v>0.40503139999999999</v>
      </c>
      <c r="G485" s="67">
        <f t="shared" si="36"/>
        <v>4.0503140000000002E-3</v>
      </c>
      <c r="H485" s="83">
        <f>_xlfn.IFNA(0.997*(INDEX('Mass attenuation coefficients'!$B$2:$B$37,MATCH($C485,'Mass attenuation coefficients'!$A$2:$A$37,1))+($C485-INDEX('Mass attenuation coefficients'!$A$2:$A$37,MATCH($C485,'Mass attenuation coefficients'!$A$2:$A$37,1)))*(INDEX('Mass attenuation coefficients'!$B$2:$B$37,MATCH($C485,'Mass attenuation coefficients'!$A$2:$A$37,1)+1)-INDEX('Mass attenuation coefficients'!$B$2:$B$37,MATCH($C485,'Mass attenuation coefficients'!$A$2:$A$37,1)))/(INDEX('Mass attenuation coefficients'!$A$2:$A$37,MATCH($C485,'Mass attenuation coefficients'!$A$2:$A$37,1)+1)-INDEX('Mass attenuation coefficients'!$A$2:$A$37,MATCH($C485,'Mass attenuation coefficients'!$A$2:$A$37,1)))),0.997*$C485*'Mass attenuation coefficients'!$B$2/'Mass attenuation coefficients'!$A$2)</f>
        <v>0.19721799571000001</v>
      </c>
      <c r="I485" s="83">
        <f>_xlfn.IFNA(INDEX('Shultis Faw'!$C$2:$C$26,MATCH($C485,'Shultis Faw'!$A$2:$A$26,1))+($C485-INDEX('Shultis Faw'!$A$2:$A$26,MATCH($C485,'Shultis Faw'!$A$2:$A$26,1)))*(INDEX('Shultis Faw'!$C$2:$C$26,MATCH($C485,'Shultis Faw'!$A$2:$A$26,1)+1)-INDEX('Shultis Faw'!$C$2:$C$26,MATCH($C485,'Shultis Faw'!$A$2:$A$26,1)))/(INDEX('Shultis Faw'!$A$2:$A$26,MATCH($C485,'Shultis Faw'!$A$2:$A$26,1)+1)-INDEX('Shultis Faw'!$A$2:$A$26,MATCH($C485,'Shultis Faw'!$A$2:$A$26,1))),$C485*'Shultis Faw'!$C$2/'Shultis Faw'!$A$2)</f>
        <v>5.0106906000000002</v>
      </c>
      <c r="J485" s="83">
        <f>_xlfn.IFNA(INDEX('Shultis Faw'!$D$2:$D$26,MATCH($C485,'Shultis Faw'!$A$2:$A$26,1))+($C485-INDEX('Shultis Faw'!$A$2:$A$26,MATCH($C485,'Shultis Faw'!$A$2:$A$26,1)))*(INDEX('Shultis Faw'!$D$2:$D$26,MATCH($C485,'Shultis Faw'!$A$2:$A$26,1)+1)-INDEX('Shultis Faw'!$D$2:$D$26,MATCH($C485,'Shultis Faw'!$A$2:$A$26,1)))/(INDEX('Shultis Faw'!$A$2:$A$26,MATCH($C485,'Shultis Faw'!$A$2:$A$26,1)+1)-INDEX('Shultis Faw'!$A$2:$A$26,MATCH($C485,'Shultis Faw'!$A$2:$A$26,1))),$C485*'Shultis Faw'!$D$2/'Shultis Faw'!$A$2)</f>
        <v>1.84987115</v>
      </c>
      <c r="K485" s="83">
        <f>_xlfn.IFNA(INDEX('Shultis Faw'!$B$2:$B$26,MATCH($C485,'Shultis Faw'!$A$2:$A$26,1))+($C485-INDEX('Shultis Faw'!$A$2:$A$26,MATCH($C485,'Shultis Faw'!$A$2:$A$26,1)))*(INDEX('Shultis Faw'!$B$2:$B$26,MATCH($C485,'Shultis Faw'!$A$2:$A$26,1)+1)-INDEX('Shultis Faw'!$B$2:$B$26,MATCH($C485,'Shultis Faw'!$A$2:$A$26,1)))/(INDEX('Shultis Faw'!$A$2:$A$26,MATCH($C485,'Shultis Faw'!$A$2:$A$26,1)+1)-INDEX('Shultis Faw'!$A$2:$A$26,MATCH($C485,'Shultis Faw'!$A$2:$A$26,1))),$C485*'Shultis Faw'!$B$2/'Shultis Faw'!$A$2)</f>
        <v>-0.1413027</v>
      </c>
      <c r="L485" s="83">
        <f>_xlfn.IFNA(INDEX('Shultis Faw'!$E$2:$E$26,MATCH($C485,'Shultis Faw'!$A$2:$A$26,1))+($C485-INDEX('Shultis Faw'!$A$2:$A$26,MATCH($C485,'Shultis Faw'!$A$2:$A$26,1)))*(INDEX('Shultis Faw'!$E$2:$E$26,MATCH($C485,'Shultis Faw'!$A$2:$A$26,1)+1)-INDEX('Shultis Faw'!$E$2:$E$26,MATCH($C485,'Shultis Faw'!$A$2:$A$26,1)))/(INDEX('Shultis Faw'!$A$2:$A$26,MATCH($C485,'Shultis Faw'!$A$2:$A$26,1)+1)-INDEX('Shultis Faw'!$A$2:$A$26,MATCH($C485,'Shultis Faw'!$A$2:$A$26,1))),$C485*'Shultis Faw'!$E$2/'Shultis Faw'!$A$2)</f>
        <v>6.3714914999999997E-2</v>
      </c>
      <c r="M485" s="83">
        <f>_xlfn.IFNA(INDEX('Shultis Faw'!$F$2:$F$26,MATCH($C485,'Shultis Faw'!$A$2:$A$26,1))+($C485-INDEX('Shultis Faw'!$A$2:$A$26,MATCH($C485,'Shultis Faw'!$A$2:$A$26,1)))*(INDEX('Shultis Faw'!$F$2:$F$26,MATCH($C485,'Shultis Faw'!$A$2:$A$26,1)+1)-INDEX('Shultis Faw'!$F$2:$F$26,MATCH($C485,'Shultis Faw'!$A$2:$A$26,1)))/(INDEX('Shultis Faw'!$A$2:$A$26,MATCH($C485,'Shultis Faw'!$A$2:$A$26,1)+1)-INDEX('Shultis Faw'!$A$2:$A$26,MATCH($C485,'Shultis Faw'!$A$2:$A$26,1))),$C485*'Shultis Faw'!$F$2/'Shultis Faw'!$A$2)</f>
        <v>13.650930500000001</v>
      </c>
      <c r="N485" s="83">
        <f>J485*(H485*'Externe blootstelling'!$D$23/2)^K485+L485*(TANH(((H485*'Externe blootstelling'!$D$23)/(2*M485))-2)-TANH(-2))/(1-TANH(-2))</f>
        <v>1.5876363214164655</v>
      </c>
      <c r="O485" s="83">
        <f>IF(N485=1,1+(I485-1)*H485*'Externe blootstelling'!$D$23/2,1+(I485-1)*(N485^(H485*'Externe blootstelling'!$D$23/2)-1)/(N485-1))</f>
        <v>20.965711510268573</v>
      </c>
      <c r="P485" s="67">
        <f>G485*EXP(-H485*'Externe blootstelling'!$D$23/2)*O485</f>
        <v>4.4079634998314974E-3</v>
      </c>
      <c r="Q485" s="68"/>
    </row>
    <row r="486" spans="1:17" x14ac:dyDescent="0.2">
      <c r="A486" s="217"/>
      <c r="B486" s="64" t="s">
        <v>102</v>
      </c>
      <c r="C486" s="66">
        <v>6.9270700000000004E-2</v>
      </c>
      <c r="D486" s="66">
        <f t="shared" si="35"/>
        <v>1.1083312000000002E-14</v>
      </c>
      <c r="E486" s="66">
        <v>2.7400000000000002E-3</v>
      </c>
      <c r="F486" s="66">
        <f>_xlfn.IFNA(INDEX('hp (pSv cm2)'!$B$2:$B$52,MATCH($C486,'hp (pSv cm2)'!$A$2:$A$52,1))+($C486-INDEX('hp (pSv cm2)'!$A$2:$A$52,MATCH($C486,'hp (pSv cm2)'!$A$2:$A$52,1)))*(INDEX('hp (pSv cm2)'!$B$2:$B$52,MATCH($C486,'hp (pSv cm2)'!$A$2:$A$52,1)+1)-INDEX('hp (pSv cm2)'!$B$2:$B$52,MATCH($C486,'hp (pSv cm2)'!$A$2:$A$52,1)))/(INDEX('hp (pSv cm2)'!$A$2:$A$52,MATCH($C486,'hp (pSv cm2)'!$A$2:$A$52,1)+1)-INDEX('hp (pSv cm2)'!$A$2:$A$52,MATCH($C486,'hp (pSv cm2)'!$A$2:$A$52,1))),$C486*'hp (pSv cm2)'!$B$2/'hp (pSv cm2)'!$A$2)</f>
        <v>0.40939554</v>
      </c>
      <c r="G486" s="67">
        <f t="shared" si="36"/>
        <v>1.1217437796000001E-3</v>
      </c>
      <c r="H486" s="83">
        <f>_xlfn.IFNA(0.997*(INDEX('Mass attenuation coefficients'!$B$2:$B$37,MATCH($C486,'Mass attenuation coefficients'!$A$2:$A$37,1))+($C486-INDEX('Mass attenuation coefficients'!$A$2:$A$37,MATCH($C486,'Mass attenuation coefficients'!$A$2:$A$37,1)))*(INDEX('Mass attenuation coefficients'!$B$2:$B$37,MATCH($C486,'Mass attenuation coefficients'!$A$2:$A$37,1)+1)-INDEX('Mass attenuation coefficients'!$B$2:$B$37,MATCH($C486,'Mass attenuation coefficients'!$A$2:$A$37,1)))/(INDEX('Mass attenuation coefficients'!$A$2:$A$37,MATCH($C486,'Mass attenuation coefficients'!$A$2:$A$37,1)+1)-INDEX('Mass attenuation coefficients'!$A$2:$A$37,MATCH($C486,'Mass attenuation coefficients'!$A$2:$A$37,1)))),0.997*$C486*'Mass attenuation coefficients'!$B$2/'Mass attenuation coefficients'!$A$2)</f>
        <v>0.19502269443100001</v>
      </c>
      <c r="I486" s="83">
        <f>_xlfn.IFNA(INDEX('Shultis Faw'!$C$2:$C$26,MATCH($C486,'Shultis Faw'!$A$2:$A$26,1))+($C486-INDEX('Shultis Faw'!$A$2:$A$26,MATCH($C486,'Shultis Faw'!$A$2:$A$26,1)))*(INDEX('Shultis Faw'!$C$2:$C$26,MATCH($C486,'Shultis Faw'!$A$2:$A$26,1)+1)-INDEX('Shultis Faw'!$C$2:$C$26,MATCH($C486,'Shultis Faw'!$A$2:$A$26,1)))/(INDEX('Shultis Faw'!$A$2:$A$26,MATCH($C486,'Shultis Faw'!$A$2:$A$26,1)+1)-INDEX('Shultis Faw'!$A$2:$A$26,MATCH($C486,'Shultis Faw'!$A$2:$A$26,1))),$C486*'Shultis Faw'!$C$2/'Shultis Faw'!$A$2)</f>
        <v>5.0182286600000001</v>
      </c>
      <c r="J486" s="83">
        <f>_xlfn.IFNA(INDEX('Shultis Faw'!$D$2:$D$26,MATCH($C486,'Shultis Faw'!$A$2:$A$26,1))+($C486-INDEX('Shultis Faw'!$A$2:$A$26,MATCH($C486,'Shultis Faw'!$A$2:$A$26,1)))*(INDEX('Shultis Faw'!$D$2:$D$26,MATCH($C486,'Shultis Faw'!$A$2:$A$26,1)+1)-INDEX('Shultis Faw'!$D$2:$D$26,MATCH($C486,'Shultis Faw'!$A$2:$A$26,1)))/(INDEX('Shultis Faw'!$A$2:$A$26,MATCH($C486,'Shultis Faw'!$A$2:$A$26,1)+1)-INDEX('Shultis Faw'!$A$2:$A$26,MATCH($C486,'Shultis Faw'!$A$2:$A$26,1))),$C486*'Shultis Faw'!$D$2/'Shultis Faw'!$A$2)</f>
        <v>1.8825030150000002</v>
      </c>
      <c r="K486" s="83">
        <f>_xlfn.IFNA(INDEX('Shultis Faw'!$B$2:$B$26,MATCH($C486,'Shultis Faw'!$A$2:$A$26,1))+($C486-INDEX('Shultis Faw'!$A$2:$A$26,MATCH($C486,'Shultis Faw'!$A$2:$A$26,1)))*(INDEX('Shultis Faw'!$B$2:$B$26,MATCH($C486,'Shultis Faw'!$A$2:$A$26,1)+1)-INDEX('Shultis Faw'!$B$2:$B$26,MATCH($C486,'Shultis Faw'!$A$2:$A$26,1)))/(INDEX('Shultis Faw'!$A$2:$A$26,MATCH($C486,'Shultis Faw'!$A$2:$A$26,1)+1)-INDEX('Shultis Faw'!$A$2:$A$26,MATCH($C486,'Shultis Faw'!$A$2:$A$26,1))),$C486*'Shultis Faw'!$B$2/'Shultis Faw'!$A$2)</f>
        <v>-0.14546847000000002</v>
      </c>
      <c r="L486" s="83">
        <f>_xlfn.IFNA(INDEX('Shultis Faw'!$E$2:$E$26,MATCH($C486,'Shultis Faw'!$A$2:$A$26,1))+($C486-INDEX('Shultis Faw'!$A$2:$A$26,MATCH($C486,'Shultis Faw'!$A$2:$A$26,1)))*(INDEX('Shultis Faw'!$E$2:$E$26,MATCH($C486,'Shultis Faw'!$A$2:$A$26,1)+1)-INDEX('Shultis Faw'!$E$2:$E$26,MATCH($C486,'Shultis Faw'!$A$2:$A$26,1)))/(INDEX('Shultis Faw'!$A$2:$A$26,MATCH($C486,'Shultis Faw'!$A$2:$A$26,1)+1)-INDEX('Shultis Faw'!$A$2:$A$26,MATCH($C486,'Shultis Faw'!$A$2:$A$26,1))),$C486*'Shultis Faw'!$E$2/'Shultis Faw'!$A$2)</f>
        <v>6.5787881500000006E-2</v>
      </c>
      <c r="M486" s="83">
        <f>_xlfn.IFNA(INDEX('Shultis Faw'!$F$2:$F$26,MATCH($C486,'Shultis Faw'!$A$2:$A$26,1))+($C486-INDEX('Shultis Faw'!$A$2:$A$26,MATCH($C486,'Shultis Faw'!$A$2:$A$26,1)))*(INDEX('Shultis Faw'!$F$2:$F$26,MATCH($C486,'Shultis Faw'!$A$2:$A$26,1)+1)-INDEX('Shultis Faw'!$F$2:$F$26,MATCH($C486,'Shultis Faw'!$A$2:$A$26,1)))/(INDEX('Shultis Faw'!$A$2:$A$26,MATCH($C486,'Shultis Faw'!$A$2:$A$26,1)+1)-INDEX('Shultis Faw'!$A$2:$A$26,MATCH($C486,'Shultis Faw'!$A$2:$A$26,1))),$C486*'Shultis Faw'!$F$2/'Shultis Faw'!$A$2)</f>
        <v>13.65390605</v>
      </c>
      <c r="N486" s="83">
        <f>J486*(H486*'Externe blootstelling'!$D$23/2)^K486+L486*(TANH(((H486*'Externe blootstelling'!$D$23)/(2*M486))-2)-TANH(-2))/(1-TANH(-2))</f>
        <v>1.6109822772970888</v>
      </c>
      <c r="O486" s="83">
        <f>IF(N486=1,1+(I486-1)*H486*'Externe blootstelling'!$D$23/2,1+(I486-1)*(N486^(H486*'Externe blootstelling'!$D$23/2)-1)/(N486-1))</f>
        <v>20.958203169804857</v>
      </c>
      <c r="P486" s="67">
        <f>G486*EXP(-H486*'Externe blootstelling'!$D$23/2)*O486</f>
        <v>1.2612132232309131E-3</v>
      </c>
      <c r="Q486" s="68"/>
    </row>
    <row r="487" spans="1:17" x14ac:dyDescent="0.2">
      <c r="A487" s="217"/>
      <c r="B487" s="64" t="s">
        <v>102</v>
      </c>
      <c r="C487" s="66">
        <v>7.1448999999999999E-2</v>
      </c>
      <c r="D487" s="66">
        <f t="shared" si="35"/>
        <v>1.143184E-14</v>
      </c>
      <c r="E487" s="66">
        <v>6.5000000000000006E-3</v>
      </c>
      <c r="F487" s="66">
        <f>_xlfn.IFNA(INDEX('hp (pSv cm2)'!$B$2:$B$52,MATCH($C487,'hp (pSv cm2)'!$A$2:$A$52,1))+($C487-INDEX('hp (pSv cm2)'!$A$2:$A$52,MATCH($C487,'hp (pSv cm2)'!$A$2:$A$52,1)))*(INDEX('hp (pSv cm2)'!$B$2:$B$52,MATCH($C487,'hp (pSv cm2)'!$A$2:$A$52,1)+1)-INDEX('hp (pSv cm2)'!$B$2:$B$52,MATCH($C487,'hp (pSv cm2)'!$A$2:$A$52,1)))/(INDEX('hp (pSv cm2)'!$A$2:$A$52,MATCH($C487,'hp (pSv cm2)'!$A$2:$A$52,1)+1)-INDEX('hp (pSv cm2)'!$A$2:$A$52,MATCH($C487,'hp (pSv cm2)'!$A$2:$A$52,1))),$C487*'hp (pSv cm2)'!$B$2/'hp (pSv cm2)'!$A$2)</f>
        <v>0.41563679999999997</v>
      </c>
      <c r="G487" s="67">
        <f t="shared" si="36"/>
        <v>2.7016392000000001E-3</v>
      </c>
      <c r="H487" s="83">
        <f>_xlfn.IFNA(0.997*(INDEX('Mass attenuation coefficients'!$B$2:$B$37,MATCH($C487,'Mass attenuation coefficients'!$A$2:$A$37,1))+($C487-INDEX('Mass attenuation coefficients'!$A$2:$A$37,MATCH($C487,'Mass attenuation coefficients'!$A$2:$A$37,1)))*(INDEX('Mass attenuation coefficients'!$B$2:$B$37,MATCH($C487,'Mass attenuation coefficients'!$A$2:$A$37,1)+1)-INDEX('Mass attenuation coefficients'!$B$2:$B$37,MATCH($C487,'Mass attenuation coefficients'!$A$2:$A$37,1)))/(INDEX('Mass attenuation coefficients'!$A$2:$A$37,MATCH($C487,'Mass attenuation coefficients'!$A$2:$A$37,1)+1)-INDEX('Mass attenuation coefficients'!$A$2:$A$37,MATCH($C487,'Mass attenuation coefficients'!$A$2:$A$37,1)))),0.997*$C487*'Mass attenuation coefficients'!$B$2/'Mass attenuation coefficients'!$A$2)</f>
        <v>0.19261203517</v>
      </c>
      <c r="I487" s="83">
        <f>_xlfn.IFNA(INDEX('Shultis Faw'!$C$2:$C$26,MATCH($C487,'Shultis Faw'!$A$2:$A$26,1))+($C487-INDEX('Shultis Faw'!$A$2:$A$26,MATCH($C487,'Shultis Faw'!$A$2:$A$26,1)))*(INDEX('Shultis Faw'!$C$2:$C$26,MATCH($C487,'Shultis Faw'!$A$2:$A$26,1)+1)-INDEX('Shultis Faw'!$C$2:$C$26,MATCH($C487,'Shultis Faw'!$A$2:$A$26,1)))/(INDEX('Shultis Faw'!$A$2:$A$26,MATCH($C487,'Shultis Faw'!$A$2:$A$26,1)+1)-INDEX('Shultis Faw'!$A$2:$A$26,MATCH($C487,'Shultis Faw'!$A$2:$A$26,1))),$C487*'Shultis Faw'!$C$2/'Shultis Faw'!$A$2)</f>
        <v>5.0265062</v>
      </c>
      <c r="J487" s="83">
        <f>_xlfn.IFNA(INDEX('Shultis Faw'!$D$2:$D$26,MATCH($C487,'Shultis Faw'!$A$2:$A$26,1))+($C487-INDEX('Shultis Faw'!$A$2:$A$26,MATCH($C487,'Shultis Faw'!$A$2:$A$26,1)))*(INDEX('Shultis Faw'!$D$2:$D$26,MATCH($C487,'Shultis Faw'!$A$2:$A$26,1)+1)-INDEX('Shultis Faw'!$D$2:$D$26,MATCH($C487,'Shultis Faw'!$A$2:$A$26,1)))/(INDEX('Shultis Faw'!$A$2:$A$26,MATCH($C487,'Shultis Faw'!$A$2:$A$26,1)+1)-INDEX('Shultis Faw'!$A$2:$A$26,MATCH($C487,'Shultis Faw'!$A$2:$A$26,1))),$C487*'Shultis Faw'!$D$2/'Shultis Faw'!$A$2)</f>
        <v>1.9183360500000002</v>
      </c>
      <c r="K487" s="83">
        <f>_xlfn.IFNA(INDEX('Shultis Faw'!$B$2:$B$26,MATCH($C487,'Shultis Faw'!$A$2:$A$26,1))+($C487-INDEX('Shultis Faw'!$A$2:$A$26,MATCH($C487,'Shultis Faw'!$A$2:$A$26,1)))*(INDEX('Shultis Faw'!$B$2:$B$26,MATCH($C487,'Shultis Faw'!$A$2:$A$26,1)+1)-INDEX('Shultis Faw'!$B$2:$B$26,MATCH($C487,'Shultis Faw'!$A$2:$A$26,1)))/(INDEX('Shultis Faw'!$A$2:$A$26,MATCH($C487,'Shultis Faw'!$A$2:$A$26,1)+1)-INDEX('Shultis Faw'!$A$2:$A$26,MATCH($C487,'Shultis Faw'!$A$2:$A$26,1))),$C487*'Shultis Faw'!$B$2/'Shultis Faw'!$A$2)</f>
        <v>-0.15004290000000001</v>
      </c>
      <c r="L487" s="83">
        <f>_xlfn.IFNA(INDEX('Shultis Faw'!$E$2:$E$26,MATCH($C487,'Shultis Faw'!$A$2:$A$26,1))+($C487-INDEX('Shultis Faw'!$A$2:$A$26,MATCH($C487,'Shultis Faw'!$A$2:$A$26,1)))*(INDEX('Shultis Faw'!$E$2:$E$26,MATCH($C487,'Shultis Faw'!$A$2:$A$26,1)+1)-INDEX('Shultis Faw'!$E$2:$E$26,MATCH($C487,'Shultis Faw'!$A$2:$A$26,1)))/(INDEX('Shultis Faw'!$A$2:$A$26,MATCH($C487,'Shultis Faw'!$A$2:$A$26,1)+1)-INDEX('Shultis Faw'!$A$2:$A$26,MATCH($C487,'Shultis Faw'!$A$2:$A$26,1))),$C487*'Shultis Faw'!$E$2/'Shultis Faw'!$A$2)</f>
        <v>6.8064205000000003E-2</v>
      </c>
      <c r="M487" s="83">
        <f>_xlfn.IFNA(INDEX('Shultis Faw'!$F$2:$F$26,MATCH($C487,'Shultis Faw'!$A$2:$A$26,1))+($C487-INDEX('Shultis Faw'!$A$2:$A$26,MATCH($C487,'Shultis Faw'!$A$2:$A$26,1)))*(INDEX('Shultis Faw'!$F$2:$F$26,MATCH($C487,'Shultis Faw'!$A$2:$A$26,1)+1)-INDEX('Shultis Faw'!$F$2:$F$26,MATCH($C487,'Shultis Faw'!$A$2:$A$26,1)))/(INDEX('Shultis Faw'!$A$2:$A$26,MATCH($C487,'Shultis Faw'!$A$2:$A$26,1)+1)-INDEX('Shultis Faw'!$A$2:$A$26,MATCH($C487,'Shultis Faw'!$A$2:$A$26,1))),$C487*'Shultis Faw'!$F$2/'Shultis Faw'!$A$2)</f>
        <v>13.657173500000001</v>
      </c>
      <c r="N487" s="83">
        <f>J487*(H487*'Externe blootstelling'!$D$23/2)^K487+L487*(TANH(((H487*'Externe blootstelling'!$D$23)/(2*M487))-2)-TANH(-2))/(1-TANH(-2))</f>
        <v>1.6366591467041516</v>
      </c>
      <c r="O487" s="83">
        <f>IF(N487=1,1+(I487-1)*H487*'Externe blootstelling'!$D$23/2,1+(I487-1)*(N487^(H487*'Externe blootstelling'!$D$23/2)-1)/(N487-1))</f>
        <v>20.928959135888075</v>
      </c>
      <c r="P487" s="67">
        <f>G487*EXP(-H487*'Externe blootstelling'!$D$23/2)*O487</f>
        <v>3.1449939826649633E-3</v>
      </c>
      <c r="Q487" s="68"/>
    </row>
    <row r="488" spans="1:17" x14ac:dyDescent="0.2">
      <c r="A488" s="217"/>
      <c r="B488" s="64" t="s">
        <v>102</v>
      </c>
      <c r="C488" s="66">
        <v>7.3584300000000005E-2</v>
      </c>
      <c r="D488" s="66">
        <f t="shared" si="35"/>
        <v>1.1773488E-14</v>
      </c>
      <c r="E488" s="66">
        <v>1.82E-3</v>
      </c>
      <c r="F488" s="66">
        <f>_xlfn.IFNA(INDEX('hp (pSv cm2)'!$B$2:$B$52,MATCH($C488,'hp (pSv cm2)'!$A$2:$A$52,1))+($C488-INDEX('hp (pSv cm2)'!$A$2:$A$52,MATCH($C488,'hp (pSv cm2)'!$A$2:$A$52,1)))*(INDEX('hp (pSv cm2)'!$B$2:$B$52,MATCH($C488,'hp (pSv cm2)'!$A$2:$A$52,1)+1)-INDEX('hp (pSv cm2)'!$B$2:$B$52,MATCH($C488,'hp (pSv cm2)'!$A$2:$A$52,1)))/(INDEX('hp (pSv cm2)'!$A$2:$A$52,MATCH($C488,'hp (pSv cm2)'!$A$2:$A$52,1)+1)-INDEX('hp (pSv cm2)'!$A$2:$A$52,MATCH($C488,'hp (pSv cm2)'!$A$2:$A$52,1))),$C488*'hp (pSv cm2)'!$B$2/'hp (pSv cm2)'!$A$2)</f>
        <v>0.42246975999999997</v>
      </c>
      <c r="G488" s="67">
        <f t="shared" si="36"/>
        <v>7.688949631999999E-4</v>
      </c>
      <c r="H488" s="83">
        <f>_xlfn.IFNA(0.997*(INDEX('Mass attenuation coefficients'!$B$2:$B$37,MATCH($C488,'Mass attenuation coefficients'!$A$2:$A$37,1))+($C488-INDEX('Mass attenuation coefficients'!$A$2:$A$37,MATCH($C488,'Mass attenuation coefficients'!$A$2:$A$37,1)))*(INDEX('Mass attenuation coefficients'!$B$2:$B$37,MATCH($C488,'Mass attenuation coefficients'!$A$2:$A$37,1)+1)-INDEX('Mass attenuation coefficients'!$B$2:$B$37,MATCH($C488,'Mass attenuation coefficients'!$A$2:$A$37,1)))/(INDEX('Mass attenuation coefficients'!$A$2:$A$37,MATCH($C488,'Mass attenuation coefficients'!$A$2:$A$37,1)+1)-INDEX('Mass attenuation coefficients'!$A$2:$A$37,MATCH($C488,'Mass attenuation coefficients'!$A$2:$A$37,1)))),0.997*$C488*'Mass attenuation coefficients'!$B$2/'Mass attenuation coefficients'!$A$2)</f>
        <v>0.19024896271899999</v>
      </c>
      <c r="I488" s="83">
        <f>_xlfn.IFNA(INDEX('Shultis Faw'!$C$2:$C$26,MATCH($C488,'Shultis Faw'!$A$2:$A$26,1))+($C488-INDEX('Shultis Faw'!$A$2:$A$26,MATCH($C488,'Shultis Faw'!$A$2:$A$26,1)))*(INDEX('Shultis Faw'!$C$2:$C$26,MATCH($C488,'Shultis Faw'!$A$2:$A$26,1)+1)-INDEX('Shultis Faw'!$C$2:$C$26,MATCH($C488,'Shultis Faw'!$A$2:$A$26,1)))/(INDEX('Shultis Faw'!$A$2:$A$26,MATCH($C488,'Shultis Faw'!$A$2:$A$26,1)+1)-INDEX('Shultis Faw'!$A$2:$A$26,MATCH($C488,'Shultis Faw'!$A$2:$A$26,1))),$C488*'Shultis Faw'!$C$2/'Shultis Faw'!$A$2)</f>
        <v>5.03462034</v>
      </c>
      <c r="J488" s="83">
        <f>_xlfn.IFNA(INDEX('Shultis Faw'!$D$2:$D$26,MATCH($C488,'Shultis Faw'!$A$2:$A$26,1))+($C488-INDEX('Shultis Faw'!$A$2:$A$26,MATCH($C488,'Shultis Faw'!$A$2:$A$26,1)))*(INDEX('Shultis Faw'!$D$2:$D$26,MATCH($C488,'Shultis Faw'!$A$2:$A$26,1)+1)-INDEX('Shultis Faw'!$D$2:$D$26,MATCH($C488,'Shultis Faw'!$A$2:$A$26,1)))/(INDEX('Shultis Faw'!$A$2:$A$26,MATCH($C488,'Shultis Faw'!$A$2:$A$26,1)+1)-INDEX('Shultis Faw'!$A$2:$A$26,MATCH($C488,'Shultis Faw'!$A$2:$A$26,1))),$C488*'Shultis Faw'!$D$2/'Shultis Faw'!$A$2)</f>
        <v>1.9534617350000001</v>
      </c>
      <c r="K488" s="83">
        <f>_xlfn.IFNA(INDEX('Shultis Faw'!$B$2:$B$26,MATCH($C488,'Shultis Faw'!$A$2:$A$26,1))+($C488-INDEX('Shultis Faw'!$A$2:$A$26,MATCH($C488,'Shultis Faw'!$A$2:$A$26,1)))*(INDEX('Shultis Faw'!$B$2:$B$26,MATCH($C488,'Shultis Faw'!$A$2:$A$26,1)+1)-INDEX('Shultis Faw'!$B$2:$B$26,MATCH($C488,'Shultis Faw'!$A$2:$A$26,1)))/(INDEX('Shultis Faw'!$A$2:$A$26,MATCH($C488,'Shultis Faw'!$A$2:$A$26,1)+1)-INDEX('Shultis Faw'!$A$2:$A$26,MATCH($C488,'Shultis Faw'!$A$2:$A$26,1))),$C488*'Shultis Faw'!$B$2/'Shultis Faw'!$A$2)</f>
        <v>-0.15452703000000001</v>
      </c>
      <c r="L488" s="83">
        <f>_xlfn.IFNA(INDEX('Shultis Faw'!$E$2:$E$26,MATCH($C488,'Shultis Faw'!$A$2:$A$26,1))+($C488-INDEX('Shultis Faw'!$A$2:$A$26,MATCH($C488,'Shultis Faw'!$A$2:$A$26,1)))*(INDEX('Shultis Faw'!$E$2:$E$26,MATCH($C488,'Shultis Faw'!$A$2:$A$26,1)+1)-INDEX('Shultis Faw'!$E$2:$E$26,MATCH($C488,'Shultis Faw'!$A$2:$A$26,1)))/(INDEX('Shultis Faw'!$A$2:$A$26,MATCH($C488,'Shultis Faw'!$A$2:$A$26,1)+1)-INDEX('Shultis Faw'!$A$2:$A$26,MATCH($C488,'Shultis Faw'!$A$2:$A$26,1))),$C488*'Shultis Faw'!$E$2/'Shultis Faw'!$A$2)</f>
        <v>7.0295593500000003E-2</v>
      </c>
      <c r="M488" s="83">
        <f>_xlfn.IFNA(INDEX('Shultis Faw'!$F$2:$F$26,MATCH($C488,'Shultis Faw'!$A$2:$A$26,1))+($C488-INDEX('Shultis Faw'!$A$2:$A$26,MATCH($C488,'Shultis Faw'!$A$2:$A$26,1)))*(INDEX('Shultis Faw'!$F$2:$F$26,MATCH($C488,'Shultis Faw'!$A$2:$A$26,1)+1)-INDEX('Shultis Faw'!$F$2:$F$26,MATCH($C488,'Shultis Faw'!$A$2:$A$26,1)))/(INDEX('Shultis Faw'!$A$2:$A$26,MATCH($C488,'Shultis Faw'!$A$2:$A$26,1)+1)-INDEX('Shultis Faw'!$A$2:$A$26,MATCH($C488,'Shultis Faw'!$A$2:$A$26,1))),$C488*'Shultis Faw'!$F$2/'Shultis Faw'!$A$2)</f>
        <v>13.660376449999999</v>
      </c>
      <c r="N488" s="83">
        <f>J488*(H488*'Externe blootstelling'!$D$23/2)^K488+L488*(TANH(((H488*'Externe blootstelling'!$D$23)/(2*M488))-2)-TANH(-2))/(1-TANH(-2))</f>
        <v>1.6618851803271359</v>
      </c>
      <c r="O488" s="83">
        <f>IF(N488=1,1+(I488-1)*H488*'Externe blootstelling'!$D$23/2,1+(I488-1)*(N488^(H488*'Externe blootstelling'!$D$23/2)-1)/(N488-1))</f>
        <v>20.879420335330991</v>
      </c>
      <c r="P488" s="67">
        <f>G488*EXP(-H488*'Externe blootstelling'!$D$23/2)*O488</f>
        <v>9.2517594615707465E-4</v>
      </c>
      <c r="Q488" s="68"/>
    </row>
    <row r="489" spans="1:17" x14ac:dyDescent="0.2">
      <c r="A489" s="217"/>
      <c r="B489" s="64" t="s">
        <v>104</v>
      </c>
      <c r="C489" s="66">
        <v>0.12232999999999999</v>
      </c>
      <c r="D489" s="66">
        <f t="shared" si="35"/>
        <v>1.95728E-14</v>
      </c>
      <c r="E489" s="66">
        <v>6.0299999999999998E-3</v>
      </c>
      <c r="F489" s="66">
        <f>_xlfn.IFNA(INDEX('hp (pSv cm2)'!$B$2:$B$52,MATCH($C489,'hp (pSv cm2)'!$A$2:$A$52,1))+($C489-INDEX('hp (pSv cm2)'!$A$2:$A$52,MATCH($C489,'hp (pSv cm2)'!$A$2:$A$52,1)))*(INDEX('hp (pSv cm2)'!$B$2:$B$52,MATCH($C489,'hp (pSv cm2)'!$A$2:$A$52,1)+1)-INDEX('hp (pSv cm2)'!$B$2:$B$52,MATCH($C489,'hp (pSv cm2)'!$A$2:$A$52,1)))/(INDEX('hp (pSv cm2)'!$A$2:$A$52,MATCH($C489,'hp (pSv cm2)'!$A$2:$A$52,1)+1)-INDEX('hp (pSv cm2)'!$A$2:$A$52,MATCH($C489,'hp (pSv cm2)'!$A$2:$A$52,1))),$C489*'hp (pSv cm2)'!$B$2/'hp (pSv cm2)'!$A$2)</f>
        <v>0.62027140000000003</v>
      </c>
      <c r="G489" s="67">
        <f t="shared" si="36"/>
        <v>3.7402365420000001E-3</v>
      </c>
      <c r="H489" s="83">
        <f>_xlfn.IFNA(0.997*(INDEX('Mass attenuation coefficients'!$B$2:$B$37,MATCH($C489,'Mass attenuation coefficients'!$A$2:$A$37,1))+($C489-INDEX('Mass attenuation coefficients'!$A$2:$A$37,MATCH($C489,'Mass attenuation coefficients'!$A$2:$A$37,1)))*(INDEX('Mass attenuation coefficients'!$B$2:$B$37,MATCH($C489,'Mass attenuation coefficients'!$A$2:$A$37,1)+1)-INDEX('Mass attenuation coefficients'!$B$2:$B$37,MATCH($C489,'Mass attenuation coefficients'!$A$2:$A$37,1)))/(INDEX('Mass attenuation coefficients'!$A$2:$A$37,MATCH($C489,'Mass attenuation coefficients'!$A$2:$A$37,1)+1)-INDEX('Mass attenuation coefficients'!$A$2:$A$37,MATCH($C489,'Mass attenuation coefficients'!$A$2:$A$37,1)))),0.997*$C489*'Mass attenuation coefficients'!$B$2/'Mass attenuation coefficients'!$A$2)</f>
        <v>0.16119364395999999</v>
      </c>
      <c r="I489" s="83">
        <f>_xlfn.IFNA(INDEX('Shultis Faw'!$C$2:$C$26,MATCH($C489,'Shultis Faw'!$A$2:$A$26,1))+($C489-INDEX('Shultis Faw'!$A$2:$A$26,MATCH($C489,'Shultis Faw'!$A$2:$A$26,1)))*(INDEX('Shultis Faw'!$C$2:$C$26,MATCH($C489,'Shultis Faw'!$A$2:$A$26,1)+1)-INDEX('Shultis Faw'!$C$2:$C$26,MATCH($C489,'Shultis Faw'!$A$2:$A$26,1)))/(INDEX('Shultis Faw'!$A$2:$A$26,MATCH($C489,'Shultis Faw'!$A$2:$A$26,1)+1)-INDEX('Shultis Faw'!$A$2:$A$26,MATCH($C489,'Shultis Faw'!$A$2:$A$26,1))),$C489*'Shultis Faw'!$C$2/'Shultis Faw'!$A$2)</f>
        <v>4.3209043999999999</v>
      </c>
      <c r="J489" s="83">
        <f>_xlfn.IFNA(INDEX('Shultis Faw'!$D$2:$D$26,MATCH($C489,'Shultis Faw'!$A$2:$A$26,1))+($C489-INDEX('Shultis Faw'!$A$2:$A$26,MATCH($C489,'Shultis Faw'!$A$2:$A$26,1)))*(INDEX('Shultis Faw'!$D$2:$D$26,MATCH($C489,'Shultis Faw'!$A$2:$A$26,1)+1)-INDEX('Shultis Faw'!$D$2:$D$26,MATCH($C489,'Shultis Faw'!$A$2:$A$26,1)))/(INDEX('Shultis Faw'!$A$2:$A$26,MATCH($C489,'Shultis Faw'!$A$2:$A$26,1)+1)-INDEX('Shultis Faw'!$A$2:$A$26,MATCH($C489,'Shultis Faw'!$A$2:$A$26,1))),$C489*'Shultis Faw'!$D$2/'Shultis Faw'!$A$2)</f>
        <v>2.2303785999999999</v>
      </c>
      <c r="K489" s="83">
        <f>_xlfn.IFNA(INDEX('Shultis Faw'!$B$2:$B$26,MATCH($C489,'Shultis Faw'!$A$2:$A$26,1))+($C489-INDEX('Shultis Faw'!$A$2:$A$26,MATCH($C489,'Shultis Faw'!$A$2:$A$26,1)))*(INDEX('Shultis Faw'!$B$2:$B$26,MATCH($C489,'Shultis Faw'!$A$2:$A$26,1)+1)-INDEX('Shultis Faw'!$B$2:$B$26,MATCH($C489,'Shultis Faw'!$A$2:$A$26,1)))/(INDEX('Shultis Faw'!$A$2:$A$26,MATCH($C489,'Shultis Faw'!$A$2:$A$26,1)+1)-INDEX('Shultis Faw'!$A$2:$A$26,MATCH($C489,'Shultis Faw'!$A$2:$A$26,1))),$C489*'Shultis Faw'!$B$2/'Shultis Faw'!$A$2)</f>
        <v>-0.18555340000000001</v>
      </c>
      <c r="L489" s="83">
        <f>_xlfn.IFNA(INDEX('Shultis Faw'!$E$2:$E$26,MATCH($C489,'Shultis Faw'!$A$2:$A$26,1))+($C489-INDEX('Shultis Faw'!$A$2:$A$26,MATCH($C489,'Shultis Faw'!$A$2:$A$26,1)))*(INDEX('Shultis Faw'!$E$2:$E$26,MATCH($C489,'Shultis Faw'!$A$2:$A$26,1)+1)-INDEX('Shultis Faw'!$E$2:$E$26,MATCH($C489,'Shultis Faw'!$A$2:$A$26,1)))/(INDEX('Shultis Faw'!$A$2:$A$26,MATCH($C489,'Shultis Faw'!$A$2:$A$26,1)+1)-INDEX('Shultis Faw'!$A$2:$A$26,MATCH($C489,'Shultis Faw'!$A$2:$A$26,1))),$C489*'Shultis Faw'!$E$2/'Shultis Faw'!$A$2)</f>
        <v>8.041166000000001E-2</v>
      </c>
      <c r="M489" s="83">
        <f>_xlfn.IFNA(INDEX('Shultis Faw'!$F$2:$F$26,MATCH($C489,'Shultis Faw'!$A$2:$A$26,1))+($C489-INDEX('Shultis Faw'!$A$2:$A$26,MATCH($C489,'Shultis Faw'!$A$2:$A$26,1)))*(INDEX('Shultis Faw'!$F$2:$F$26,MATCH($C489,'Shultis Faw'!$A$2:$A$26,1)+1)-INDEX('Shultis Faw'!$F$2:$F$26,MATCH($C489,'Shultis Faw'!$A$2:$A$26,1)))/(INDEX('Shultis Faw'!$A$2:$A$26,MATCH($C489,'Shultis Faw'!$A$2:$A$26,1)+1)-INDEX('Shultis Faw'!$A$2:$A$26,MATCH($C489,'Shultis Faw'!$A$2:$A$26,1))),$C489*'Shultis Faw'!$F$2/'Shultis Faw'!$A$2)</f>
        <v>13.714076</v>
      </c>
      <c r="N489" s="83">
        <f>J489*(H489*'Externe blootstelling'!$D$23/2)^K489+L489*(TANH(((H489*'Externe blootstelling'!$D$23)/(2*M489))-2)-TANH(-2))/(1-TANH(-2))</f>
        <v>1.8939535617001495</v>
      </c>
      <c r="O489" s="83">
        <f>IF(N489=1,1+(I489-1)*H489*'Externe blootstelling'!$D$23/2,1+(I489-1)*(N489^(H489*'Externe blootstelling'!$D$23/2)-1)/(N489-1))</f>
        <v>14.686941970470981</v>
      </c>
      <c r="P489" s="67">
        <f>G489*EXP(-H489*'Externe blootstelling'!$D$23/2)*O489</f>
        <v>4.8949447761492378E-3</v>
      </c>
      <c r="Q489" s="68"/>
    </row>
    <row r="490" spans="1:17" x14ac:dyDescent="0.2">
      <c r="A490" s="217"/>
      <c r="B490" s="64" t="s">
        <v>104</v>
      </c>
      <c r="C490" s="66">
        <v>0.137157</v>
      </c>
      <c r="D490" s="66">
        <f t="shared" si="35"/>
        <v>2.1945119999999999E-14</v>
      </c>
      <c r="E490" s="66">
        <v>9.4200000000000006E-2</v>
      </c>
      <c r="F490" s="66">
        <f>_xlfn.IFNA(INDEX('hp (pSv cm2)'!$B$2:$B$52,MATCH($C490,'hp (pSv cm2)'!$A$2:$A$52,1))+($C490-INDEX('hp (pSv cm2)'!$A$2:$A$52,MATCH($C490,'hp (pSv cm2)'!$A$2:$A$52,1)))*(INDEX('hp (pSv cm2)'!$B$2:$B$52,MATCH($C490,'hp (pSv cm2)'!$A$2:$A$52,1)+1)-INDEX('hp (pSv cm2)'!$B$2:$B$52,MATCH($C490,'hp (pSv cm2)'!$A$2:$A$52,1)))/(INDEX('hp (pSv cm2)'!$A$2:$A$52,MATCH($C490,'hp (pSv cm2)'!$A$2:$A$52,1)+1)-INDEX('hp (pSv cm2)'!$A$2:$A$52,MATCH($C490,'hp (pSv cm2)'!$A$2:$A$52,1))),$C490*'hp (pSv cm2)'!$B$2/'hp (pSv cm2)'!$A$2)</f>
        <v>0.68817905999999995</v>
      </c>
      <c r="G490" s="67">
        <f t="shared" si="36"/>
        <v>6.4826467452000006E-2</v>
      </c>
      <c r="H490" s="83">
        <f>_xlfn.IFNA(0.997*(INDEX('Mass attenuation coefficients'!$B$2:$B$37,MATCH($C490,'Mass attenuation coefficients'!$A$2:$A$37,1))+($C490-INDEX('Mass attenuation coefficients'!$A$2:$A$37,MATCH($C490,'Mass attenuation coefficients'!$A$2:$A$37,1)))*(INDEX('Mass attenuation coefficients'!$B$2:$B$37,MATCH($C490,'Mass attenuation coefficients'!$A$2:$A$37,1)+1)-INDEX('Mass attenuation coefficients'!$B$2:$B$37,MATCH($C490,'Mass attenuation coefficients'!$A$2:$A$37,1)))/(INDEX('Mass attenuation coefficients'!$A$2:$A$37,MATCH($C490,'Mass attenuation coefficients'!$A$2:$A$37,1)+1)-INDEX('Mass attenuation coefficients'!$A$2:$A$37,MATCH($C490,'Mass attenuation coefficients'!$A$2:$A$37,1)))),0.997*$C490*'Mass attenuation coefficients'!$B$2/'Mass attenuation coefficients'!$A$2)</f>
        <v>0.155221506284</v>
      </c>
      <c r="I490" s="83">
        <f>_xlfn.IFNA(INDEX('Shultis Faw'!$C$2:$C$26,MATCH($C490,'Shultis Faw'!$A$2:$A$26,1))+($C490-INDEX('Shultis Faw'!$A$2:$A$26,MATCH($C490,'Shultis Faw'!$A$2:$A$26,1)))*(INDEX('Shultis Faw'!$C$2:$C$26,MATCH($C490,'Shultis Faw'!$A$2:$A$26,1)+1)-INDEX('Shultis Faw'!$C$2:$C$26,MATCH($C490,'Shultis Faw'!$A$2:$A$26,1)))/(INDEX('Shultis Faw'!$A$2:$A$26,MATCH($C490,'Shultis Faw'!$A$2:$A$26,1)+1)-INDEX('Shultis Faw'!$A$2:$A$26,MATCH($C490,'Shultis Faw'!$A$2:$A$26,1))),$C490*'Shultis Faw'!$C$2/'Shultis Faw'!$A$2)</f>
        <v>4.0937547599999995</v>
      </c>
      <c r="J490" s="83">
        <f>_xlfn.IFNA(INDEX('Shultis Faw'!$D$2:$D$26,MATCH($C490,'Shultis Faw'!$A$2:$A$26,1))+($C490-INDEX('Shultis Faw'!$A$2:$A$26,MATCH($C490,'Shultis Faw'!$A$2:$A$26,1)))*(INDEX('Shultis Faw'!$D$2:$D$26,MATCH($C490,'Shultis Faw'!$A$2:$A$26,1)+1)-INDEX('Shultis Faw'!$D$2:$D$26,MATCH($C490,'Shultis Faw'!$A$2:$A$26,1)))/(INDEX('Shultis Faw'!$A$2:$A$26,MATCH($C490,'Shultis Faw'!$A$2:$A$26,1)+1)-INDEX('Shultis Faw'!$A$2:$A$26,MATCH($C490,'Shultis Faw'!$A$2:$A$26,1))),$C490*'Shultis Faw'!$D$2/'Shultis Faw'!$A$2)</f>
        <v>2.23660594</v>
      </c>
      <c r="K490" s="83">
        <f>_xlfn.IFNA(INDEX('Shultis Faw'!$B$2:$B$26,MATCH($C490,'Shultis Faw'!$A$2:$A$26,1))+($C490-INDEX('Shultis Faw'!$A$2:$A$26,MATCH($C490,'Shultis Faw'!$A$2:$A$26,1)))*(INDEX('Shultis Faw'!$B$2:$B$26,MATCH($C490,'Shultis Faw'!$A$2:$A$26,1)+1)-INDEX('Shultis Faw'!$B$2:$B$26,MATCH($C490,'Shultis Faw'!$A$2:$A$26,1)))/(INDEX('Shultis Faw'!$A$2:$A$26,MATCH($C490,'Shultis Faw'!$A$2:$A$26,1)+1)-INDEX('Shultis Faw'!$A$2:$A$26,MATCH($C490,'Shultis Faw'!$A$2:$A$26,1))),$C490*'Shultis Faw'!$B$2/'Shultis Faw'!$A$2)</f>
        <v>-0.18525686</v>
      </c>
      <c r="L490" s="83">
        <f>_xlfn.IFNA(INDEX('Shultis Faw'!$E$2:$E$26,MATCH($C490,'Shultis Faw'!$A$2:$A$26,1))+($C490-INDEX('Shultis Faw'!$A$2:$A$26,MATCH($C490,'Shultis Faw'!$A$2:$A$26,1)))*(INDEX('Shultis Faw'!$E$2:$E$26,MATCH($C490,'Shultis Faw'!$A$2:$A$26,1)+1)-INDEX('Shultis Faw'!$E$2:$E$26,MATCH($C490,'Shultis Faw'!$A$2:$A$26,1)))/(INDEX('Shultis Faw'!$A$2:$A$26,MATCH($C490,'Shultis Faw'!$A$2:$A$26,1)+1)-INDEX('Shultis Faw'!$A$2:$A$26,MATCH($C490,'Shultis Faw'!$A$2:$A$26,1))),$C490*'Shultis Faw'!$E$2/'Shultis Faw'!$A$2)</f>
        <v>7.895861400000001E-2</v>
      </c>
      <c r="M490" s="83">
        <f>_xlfn.IFNA(INDEX('Shultis Faw'!$F$2:$F$26,MATCH($C490,'Shultis Faw'!$A$2:$A$26,1))+($C490-INDEX('Shultis Faw'!$A$2:$A$26,MATCH($C490,'Shultis Faw'!$A$2:$A$26,1)))*(INDEX('Shultis Faw'!$F$2:$F$26,MATCH($C490,'Shultis Faw'!$A$2:$A$26,1)+1)-INDEX('Shultis Faw'!$F$2:$F$26,MATCH($C490,'Shultis Faw'!$A$2:$A$26,1)))/(INDEX('Shultis Faw'!$A$2:$A$26,MATCH($C490,'Shultis Faw'!$A$2:$A$26,1)+1)-INDEX('Shultis Faw'!$A$2:$A$26,MATCH($C490,'Shultis Faw'!$A$2:$A$26,1))),$C490*'Shultis Faw'!$F$2/'Shultis Faw'!$A$2)</f>
        <v>13.9691004</v>
      </c>
      <c r="N490" s="83">
        <f>J490*(H490*'Externe blootstelling'!$D$23/2)^K490+L490*(TANH(((H490*'Externe blootstelling'!$D$23)/(2*M490))-2)-TANH(-2))/(1-TANH(-2))</f>
        <v>1.9130172512397838</v>
      </c>
      <c r="O490" s="83">
        <f>IF(N490=1,1+(I490-1)*H490*'Externe blootstelling'!$D$23/2,1+(I490-1)*(N490^(H490*'Externe blootstelling'!$D$23/2)-1)/(N490-1))</f>
        <v>12.955531435071265</v>
      </c>
      <c r="P490" s="67">
        <f>G490*EXP(-H490*'Externe blootstelling'!$D$23/2)*O490</f>
        <v>8.1852120352826296E-2</v>
      </c>
      <c r="Q490" s="68"/>
    </row>
    <row r="491" spans="1:17" x14ac:dyDescent="0.2">
      <c r="A491" s="217"/>
      <c r="B491" s="64" t="s">
        <v>104</v>
      </c>
      <c r="C491" s="66">
        <v>0.14299999999999999</v>
      </c>
      <c r="D491" s="66">
        <f t="shared" si="35"/>
        <v>2.2879999999999999E-14</v>
      </c>
      <c r="E491" s="66">
        <v>7.4000000000000001E-9</v>
      </c>
      <c r="F491" s="66">
        <f>_xlfn.IFNA(INDEX('hp (pSv cm2)'!$B$2:$B$52,MATCH($C491,'hp (pSv cm2)'!$A$2:$A$52,1))+($C491-INDEX('hp (pSv cm2)'!$A$2:$A$52,MATCH($C491,'hp (pSv cm2)'!$A$2:$A$52,1)))*(INDEX('hp (pSv cm2)'!$B$2:$B$52,MATCH($C491,'hp (pSv cm2)'!$A$2:$A$52,1)+1)-INDEX('hp (pSv cm2)'!$B$2:$B$52,MATCH($C491,'hp (pSv cm2)'!$A$2:$A$52,1)))/(INDEX('hp (pSv cm2)'!$A$2:$A$52,MATCH($C491,'hp (pSv cm2)'!$A$2:$A$52,1)+1)-INDEX('hp (pSv cm2)'!$A$2:$A$52,MATCH($C491,'hp (pSv cm2)'!$A$2:$A$52,1))),$C491*'hp (pSv cm2)'!$B$2/'hp (pSv cm2)'!$A$2)</f>
        <v>0.71493999999999991</v>
      </c>
      <c r="G491" s="67">
        <f t="shared" si="36"/>
        <v>5.2905559999999991E-9</v>
      </c>
      <c r="H491" s="83">
        <f>_xlfn.IFNA(0.997*(INDEX('Mass attenuation coefficients'!$B$2:$B$37,MATCH($C491,'Mass attenuation coefficients'!$A$2:$A$37,1))+($C491-INDEX('Mass attenuation coefficients'!$A$2:$A$37,MATCH($C491,'Mass attenuation coefficients'!$A$2:$A$37,1)))*(INDEX('Mass attenuation coefficients'!$B$2:$B$37,MATCH($C491,'Mass attenuation coefficients'!$A$2:$A$37,1)+1)-INDEX('Mass attenuation coefficients'!$B$2:$B$37,MATCH($C491,'Mass attenuation coefficients'!$A$2:$A$37,1)))/(INDEX('Mass attenuation coefficients'!$A$2:$A$37,MATCH($C491,'Mass attenuation coefficients'!$A$2:$A$37,1)+1)-INDEX('Mass attenuation coefficients'!$A$2:$A$37,MATCH($C491,'Mass attenuation coefficients'!$A$2:$A$37,1)))),0.997*$C491*'Mass attenuation coefficients'!$B$2/'Mass attenuation coefficients'!$A$2)</f>
        <v>0.152868016</v>
      </c>
      <c r="I491" s="83">
        <f>_xlfn.IFNA(INDEX('Shultis Faw'!$C$2:$C$26,MATCH($C491,'Shultis Faw'!$A$2:$A$26,1))+($C491-INDEX('Shultis Faw'!$A$2:$A$26,MATCH($C491,'Shultis Faw'!$A$2:$A$26,1)))*(INDEX('Shultis Faw'!$C$2:$C$26,MATCH($C491,'Shultis Faw'!$A$2:$A$26,1)+1)-INDEX('Shultis Faw'!$C$2:$C$26,MATCH($C491,'Shultis Faw'!$A$2:$A$26,1)))/(INDEX('Shultis Faw'!$A$2:$A$26,MATCH($C491,'Shultis Faw'!$A$2:$A$26,1)+1)-INDEX('Shultis Faw'!$A$2:$A$26,MATCH($C491,'Shultis Faw'!$A$2:$A$26,1))),$C491*'Shultis Faw'!$C$2/'Shultis Faw'!$A$2)</f>
        <v>4.0042400000000002</v>
      </c>
      <c r="J491" s="83">
        <f>_xlfn.IFNA(INDEX('Shultis Faw'!$D$2:$D$26,MATCH($C491,'Shultis Faw'!$A$2:$A$26,1))+($C491-INDEX('Shultis Faw'!$A$2:$A$26,MATCH($C491,'Shultis Faw'!$A$2:$A$26,1)))*(INDEX('Shultis Faw'!$D$2:$D$26,MATCH($C491,'Shultis Faw'!$A$2:$A$26,1)+1)-INDEX('Shultis Faw'!$D$2:$D$26,MATCH($C491,'Shultis Faw'!$A$2:$A$26,1)))/(INDEX('Shultis Faw'!$A$2:$A$26,MATCH($C491,'Shultis Faw'!$A$2:$A$26,1)+1)-INDEX('Shultis Faw'!$A$2:$A$26,MATCH($C491,'Shultis Faw'!$A$2:$A$26,1))),$C491*'Shultis Faw'!$D$2/'Shultis Faw'!$A$2)</f>
        <v>2.2390599999999998</v>
      </c>
      <c r="K491" s="83">
        <f>_xlfn.IFNA(INDEX('Shultis Faw'!$B$2:$B$26,MATCH($C491,'Shultis Faw'!$A$2:$A$26,1))+($C491-INDEX('Shultis Faw'!$A$2:$A$26,MATCH($C491,'Shultis Faw'!$A$2:$A$26,1)))*(INDEX('Shultis Faw'!$B$2:$B$26,MATCH($C491,'Shultis Faw'!$A$2:$A$26,1)+1)-INDEX('Shultis Faw'!$B$2:$B$26,MATCH($C491,'Shultis Faw'!$A$2:$A$26,1)))/(INDEX('Shultis Faw'!$A$2:$A$26,MATCH($C491,'Shultis Faw'!$A$2:$A$26,1)+1)-INDEX('Shultis Faw'!$A$2:$A$26,MATCH($C491,'Shultis Faw'!$A$2:$A$26,1))),$C491*'Shultis Faw'!$B$2/'Shultis Faw'!$A$2)</f>
        <v>-0.18514</v>
      </c>
      <c r="L491" s="83">
        <f>_xlfn.IFNA(INDEX('Shultis Faw'!$E$2:$E$26,MATCH($C491,'Shultis Faw'!$A$2:$A$26,1))+($C491-INDEX('Shultis Faw'!$A$2:$A$26,MATCH($C491,'Shultis Faw'!$A$2:$A$26,1)))*(INDEX('Shultis Faw'!$E$2:$E$26,MATCH($C491,'Shultis Faw'!$A$2:$A$26,1)+1)-INDEX('Shultis Faw'!$E$2:$E$26,MATCH($C491,'Shultis Faw'!$A$2:$A$26,1)))/(INDEX('Shultis Faw'!$A$2:$A$26,MATCH($C491,'Shultis Faw'!$A$2:$A$26,1)+1)-INDEX('Shultis Faw'!$A$2:$A$26,MATCH($C491,'Shultis Faw'!$A$2:$A$26,1))),$C491*'Shultis Faw'!$E$2/'Shultis Faw'!$A$2)</f>
        <v>7.8386000000000011E-2</v>
      </c>
      <c r="M491" s="83">
        <f>_xlfn.IFNA(INDEX('Shultis Faw'!$F$2:$F$26,MATCH($C491,'Shultis Faw'!$A$2:$A$26,1))+($C491-INDEX('Shultis Faw'!$A$2:$A$26,MATCH($C491,'Shultis Faw'!$A$2:$A$26,1)))*(INDEX('Shultis Faw'!$F$2:$F$26,MATCH($C491,'Shultis Faw'!$A$2:$A$26,1)+1)-INDEX('Shultis Faw'!$F$2:$F$26,MATCH($C491,'Shultis Faw'!$A$2:$A$26,1)))/(INDEX('Shultis Faw'!$A$2:$A$26,MATCH($C491,'Shultis Faw'!$A$2:$A$26,1)+1)-INDEX('Shultis Faw'!$A$2:$A$26,MATCH($C491,'Shultis Faw'!$A$2:$A$26,1))),$C491*'Shultis Faw'!$F$2/'Shultis Faw'!$A$2)</f>
        <v>14.069599999999999</v>
      </c>
      <c r="N491" s="83">
        <f>J491*(H491*'Externe blootstelling'!$D$23/2)^K491+L491*(TANH(((H491*'Externe blootstelling'!$D$23)/(2*M491))-2)-TANH(-2))/(1-TANH(-2))</f>
        <v>1.920710151239168</v>
      </c>
      <c r="O491" s="83">
        <f>IF(N491=1,1+(I491-1)*H491*'Externe blootstelling'!$D$23/2,1+(I491-1)*(N491^(H491*'Externe blootstelling'!$D$23/2)-1)/(N491-1))</f>
        <v>12.311599008198641</v>
      </c>
      <c r="P491" s="67">
        <f>G491*EXP(-H491*'Externe blootstelling'!$D$23/2)*O491</f>
        <v>6.5761201668750096E-9</v>
      </c>
      <c r="Q491" s="68"/>
    </row>
    <row r="492" spans="1:17" x14ac:dyDescent="0.2">
      <c r="A492" s="217"/>
      <c r="B492" s="64" t="s">
        <v>104</v>
      </c>
      <c r="C492" s="66">
        <v>0.29693000000000003</v>
      </c>
      <c r="D492" s="66">
        <f t="shared" si="35"/>
        <v>4.7508799999999999E-14</v>
      </c>
      <c r="E492" s="66">
        <v>5.3000000000000001E-7</v>
      </c>
      <c r="F492" s="66">
        <f>_xlfn.IFNA(INDEX('hp (pSv cm2)'!$B$2:$B$52,MATCH($C492,'hp (pSv cm2)'!$A$2:$A$52,1))+($C492-INDEX('hp (pSv cm2)'!$A$2:$A$52,MATCH($C492,'hp (pSv cm2)'!$A$2:$A$52,1)))*(INDEX('hp (pSv cm2)'!$B$2:$B$52,MATCH($C492,'hp (pSv cm2)'!$A$2:$A$52,1)+1)-INDEX('hp (pSv cm2)'!$B$2:$B$52,MATCH($C492,'hp (pSv cm2)'!$A$2:$A$52,1)))/(INDEX('hp (pSv cm2)'!$A$2:$A$52,MATCH($C492,'hp (pSv cm2)'!$A$2:$A$52,1)+1)-INDEX('hp (pSv cm2)'!$A$2:$A$52,MATCH($C492,'hp (pSv cm2)'!$A$2:$A$52,1))),$C492*'hp (pSv cm2)'!$B$2/'hp (pSv cm2)'!$A$2)</f>
        <v>1.4943430000000002</v>
      </c>
      <c r="G492" s="67">
        <f t="shared" si="36"/>
        <v>7.9200179000000014E-7</v>
      </c>
      <c r="H492" s="83">
        <f>_xlfn.IFNA(0.997*(INDEX('Mass attenuation coefficients'!$B$2:$B$37,MATCH($C492,'Mass attenuation coefficients'!$A$2:$A$37,1))+($C492-INDEX('Mass attenuation coefficients'!$A$2:$A$37,MATCH($C492,'Mass attenuation coefficients'!$A$2:$A$37,1)))*(INDEX('Mass attenuation coefficients'!$B$2:$B$37,MATCH($C492,'Mass attenuation coefficients'!$A$2:$A$37,1)+1)-INDEX('Mass attenuation coefficients'!$B$2:$B$37,MATCH($C492,'Mass attenuation coefficients'!$A$2:$A$37,1)))/(INDEX('Mass attenuation coefficients'!$A$2:$A$37,MATCH($C492,'Mass attenuation coefficients'!$A$2:$A$37,1)+1)-INDEX('Mass attenuation coefficients'!$A$2:$A$37,MATCH($C492,'Mass attenuation coefficients'!$A$2:$A$37,1)))),0.997*$C492*'Mass attenuation coefficients'!$B$2/'Mass attenuation coefficients'!$A$2)</f>
        <v>0.11880738535999999</v>
      </c>
      <c r="I492" s="83">
        <f>_xlfn.IFNA(INDEX('Shultis Faw'!$C$2:$C$26,MATCH($C492,'Shultis Faw'!$A$2:$A$26,1))+($C492-INDEX('Shultis Faw'!$A$2:$A$26,MATCH($C492,'Shultis Faw'!$A$2:$A$26,1)))*(INDEX('Shultis Faw'!$C$2:$C$26,MATCH($C492,'Shultis Faw'!$A$2:$A$26,1)+1)-INDEX('Shultis Faw'!$C$2:$C$26,MATCH($C492,'Shultis Faw'!$A$2:$A$26,1)))/(INDEX('Shultis Faw'!$A$2:$A$26,MATCH($C492,'Shultis Faw'!$A$2:$A$26,1)+1)-INDEX('Shultis Faw'!$A$2:$A$26,MATCH($C492,'Shultis Faw'!$A$2:$A$26,1))),$C492*'Shultis Faw'!$C$2/'Shultis Faw'!$A$2)</f>
        <v>2.9371305999999997</v>
      </c>
      <c r="J492" s="83">
        <f>_xlfn.IFNA(INDEX('Shultis Faw'!$D$2:$D$26,MATCH($C492,'Shultis Faw'!$A$2:$A$26,1))+($C492-INDEX('Shultis Faw'!$A$2:$A$26,MATCH($C492,'Shultis Faw'!$A$2:$A$26,1)))*(INDEX('Shultis Faw'!$D$2:$D$26,MATCH($C492,'Shultis Faw'!$A$2:$A$26,1)+1)-INDEX('Shultis Faw'!$D$2:$D$26,MATCH($C492,'Shultis Faw'!$A$2:$A$26,1)))/(INDEX('Shultis Faw'!$A$2:$A$26,MATCH($C492,'Shultis Faw'!$A$2:$A$26,1)+1)-INDEX('Shultis Faw'!$A$2:$A$26,MATCH($C492,'Shultis Faw'!$A$2:$A$26,1))),$C492*'Shultis Faw'!$D$2/'Shultis Faw'!$A$2)</f>
        <v>2.0260523999999998</v>
      </c>
      <c r="K492" s="83">
        <f>_xlfn.IFNA(INDEX('Shultis Faw'!$B$2:$B$26,MATCH($C492,'Shultis Faw'!$A$2:$A$26,1))+($C492-INDEX('Shultis Faw'!$A$2:$A$26,MATCH($C492,'Shultis Faw'!$A$2:$A$26,1)))*(INDEX('Shultis Faw'!$B$2:$B$26,MATCH($C492,'Shultis Faw'!$A$2:$A$26,1)+1)-INDEX('Shultis Faw'!$B$2:$B$26,MATCH($C492,'Shultis Faw'!$A$2:$A$26,1)))/(INDEX('Shultis Faw'!$A$2:$A$26,MATCH($C492,'Shultis Faw'!$A$2:$A$26,1)+1)-INDEX('Shultis Faw'!$A$2:$A$26,MATCH($C492,'Shultis Faw'!$A$2:$A$26,1))),$C492*'Shultis Faw'!$B$2/'Shultis Faw'!$A$2)</f>
        <v>-0.1643684</v>
      </c>
      <c r="L492" s="83">
        <f>_xlfn.IFNA(INDEX('Shultis Faw'!$E$2:$E$26,MATCH($C492,'Shultis Faw'!$A$2:$A$26,1))+($C492-INDEX('Shultis Faw'!$A$2:$A$26,MATCH($C492,'Shultis Faw'!$A$2:$A$26,1)))*(INDEX('Shultis Faw'!$E$2:$E$26,MATCH($C492,'Shultis Faw'!$A$2:$A$26,1)+1)-INDEX('Shultis Faw'!$E$2:$E$26,MATCH($C492,'Shultis Faw'!$A$2:$A$26,1)))/(INDEX('Shultis Faw'!$A$2:$A$26,MATCH($C492,'Shultis Faw'!$A$2:$A$26,1)+1)-INDEX('Shultis Faw'!$A$2:$A$26,MATCH($C492,'Shultis Faw'!$A$2:$A$26,1))),$C492*'Shultis Faw'!$E$2/'Shultis Faw'!$A$2)</f>
        <v>6.586533E-2</v>
      </c>
      <c r="M492" s="83">
        <f>_xlfn.IFNA(INDEX('Shultis Faw'!$F$2:$F$26,MATCH($C492,'Shultis Faw'!$A$2:$A$26,1))+($C492-INDEX('Shultis Faw'!$A$2:$A$26,MATCH($C492,'Shultis Faw'!$A$2:$A$26,1)))*(INDEX('Shultis Faw'!$F$2:$F$26,MATCH($C492,'Shultis Faw'!$A$2:$A$26,1)+1)-INDEX('Shultis Faw'!$F$2:$F$26,MATCH($C492,'Shultis Faw'!$A$2:$A$26,1)))/(INDEX('Shultis Faw'!$A$2:$A$26,MATCH($C492,'Shultis Faw'!$A$2:$A$26,1)+1)-INDEX('Shultis Faw'!$A$2:$A$26,MATCH($C492,'Shultis Faw'!$A$2:$A$26,1))),$C492*'Shultis Faw'!$F$2/'Shultis Faw'!$A$2)</f>
        <v>14.218903000000001</v>
      </c>
      <c r="N492" s="83">
        <f>J492*(H492*'Externe blootstelling'!$D$23/2)^K492+L492*(TANH(((H492*'Externe blootstelling'!$D$23)/(2*M492))-2)-TANH(-2))/(1-TANH(-2))</f>
        <v>1.8428249196901965</v>
      </c>
      <c r="O492" s="83">
        <f>IF(N492=1,1+(I492-1)*H492*'Externe blootstelling'!$D$23/2,1+(I492-1)*(N492^(H492*'Externe blootstelling'!$D$23/2)-1)/(N492-1))</f>
        <v>5.5335541106787351</v>
      </c>
      <c r="P492" s="67">
        <f>G492*EXP(-H492*'Externe blootstelling'!$D$23/2)*O492</f>
        <v>7.3751260303690269E-7</v>
      </c>
      <c r="Q492" s="68"/>
    </row>
    <row r="493" spans="1:17" x14ac:dyDescent="0.2">
      <c r="A493" s="217"/>
      <c r="B493" s="64" t="s">
        <v>104</v>
      </c>
      <c r="C493" s="66">
        <v>0.33338999999999996</v>
      </c>
      <c r="D493" s="66">
        <f t="shared" si="35"/>
        <v>5.3342399999999987E-14</v>
      </c>
      <c r="E493" s="66">
        <v>6.1999999999999999E-7</v>
      </c>
      <c r="F493" s="66">
        <f>_xlfn.IFNA(INDEX('hp (pSv cm2)'!$B$2:$B$52,MATCH($C493,'hp (pSv cm2)'!$A$2:$A$52,1))+($C493-INDEX('hp (pSv cm2)'!$A$2:$A$52,MATCH($C493,'hp (pSv cm2)'!$A$2:$A$52,1)))*(INDEX('hp (pSv cm2)'!$B$2:$B$52,MATCH($C493,'hp (pSv cm2)'!$A$2:$A$52,1)+1)-INDEX('hp (pSv cm2)'!$B$2:$B$52,MATCH($C493,'hp (pSv cm2)'!$A$2:$A$52,1)))/(INDEX('hp (pSv cm2)'!$A$2:$A$52,MATCH($C493,'hp (pSv cm2)'!$A$2:$A$52,1)+1)-INDEX('hp (pSv cm2)'!$A$2:$A$52,MATCH($C493,'hp (pSv cm2)'!$A$2:$A$52,1))),$C493*'hp (pSv cm2)'!$B$2/'hp (pSv cm2)'!$A$2)</f>
        <v>1.6736109999999997</v>
      </c>
      <c r="G493" s="67">
        <f t="shared" si="36"/>
        <v>1.0376388199999998E-6</v>
      </c>
      <c r="H493" s="83">
        <f>_xlfn.IFNA(0.997*(INDEX('Mass attenuation coefficients'!$B$2:$B$37,MATCH($C493,'Mass attenuation coefficients'!$A$2:$A$37,1))+($C493-INDEX('Mass attenuation coefficients'!$A$2:$A$37,MATCH($C493,'Mass attenuation coefficients'!$A$2:$A$37,1)))*(INDEX('Mass attenuation coefficients'!$B$2:$B$37,MATCH($C493,'Mass attenuation coefficients'!$A$2:$A$37,1)+1)-INDEX('Mass attenuation coefficients'!$B$2:$B$37,MATCH($C493,'Mass attenuation coefficients'!$A$2:$A$37,1)))/(INDEX('Mass attenuation coefficients'!$A$2:$A$37,MATCH($C493,'Mass attenuation coefficients'!$A$2:$A$37,1)+1)-INDEX('Mass attenuation coefficients'!$A$2:$A$37,MATCH($C493,'Mass attenuation coefficients'!$A$2:$A$37,1)))),0.997*$C493*'Mass attenuation coefficients'!$B$2/'Mass attenuation coefficients'!$A$2)</f>
        <v>0.11408297125000001</v>
      </c>
      <c r="I493" s="83">
        <f>_xlfn.IFNA(INDEX('Shultis Faw'!$C$2:$C$26,MATCH($C493,'Shultis Faw'!$A$2:$A$26,1))+($C493-INDEX('Shultis Faw'!$A$2:$A$26,MATCH($C493,'Shultis Faw'!$A$2:$A$26,1)))*(INDEX('Shultis Faw'!$C$2:$C$26,MATCH($C493,'Shultis Faw'!$A$2:$A$26,1)+1)-INDEX('Shultis Faw'!$C$2:$C$26,MATCH($C493,'Shultis Faw'!$A$2:$A$26,1)))/(INDEX('Shultis Faw'!$A$2:$A$26,MATCH($C493,'Shultis Faw'!$A$2:$A$26,1)+1)-INDEX('Shultis Faw'!$A$2:$A$26,MATCH($C493,'Shultis Faw'!$A$2:$A$26,1))),$C493*'Shultis Faw'!$C$2/'Shultis Faw'!$A$2)</f>
        <v>2.833186</v>
      </c>
      <c r="J493" s="83">
        <f>_xlfn.IFNA(INDEX('Shultis Faw'!$D$2:$D$26,MATCH($C493,'Shultis Faw'!$A$2:$A$26,1))+($C493-INDEX('Shultis Faw'!$A$2:$A$26,MATCH($C493,'Shultis Faw'!$A$2:$A$26,1)))*(INDEX('Shultis Faw'!$D$2:$D$26,MATCH($C493,'Shultis Faw'!$A$2:$A$26,1)+1)-INDEX('Shultis Faw'!$D$2:$D$26,MATCH($C493,'Shultis Faw'!$A$2:$A$26,1)))/(INDEX('Shultis Faw'!$A$2:$A$26,MATCH($C493,'Shultis Faw'!$A$2:$A$26,1)+1)-INDEX('Shultis Faw'!$A$2:$A$26,MATCH($C493,'Shultis Faw'!$A$2:$A$26,1))),$C493*'Shultis Faw'!$D$2/'Shultis Faw'!$A$2)</f>
        <v>1.9752539999999998</v>
      </c>
      <c r="K493" s="83">
        <f>_xlfn.IFNA(INDEX('Shultis Faw'!$B$2:$B$26,MATCH($C493,'Shultis Faw'!$A$2:$A$26,1))+($C493-INDEX('Shultis Faw'!$A$2:$A$26,MATCH($C493,'Shultis Faw'!$A$2:$A$26,1)))*(INDEX('Shultis Faw'!$B$2:$B$26,MATCH($C493,'Shultis Faw'!$A$2:$A$26,1)+1)-INDEX('Shultis Faw'!$B$2:$B$26,MATCH($C493,'Shultis Faw'!$A$2:$A$26,1)))/(INDEX('Shultis Faw'!$A$2:$A$26,MATCH($C493,'Shultis Faw'!$A$2:$A$26,1)+1)-INDEX('Shultis Faw'!$A$2:$A$26,MATCH($C493,'Shultis Faw'!$A$2:$A$26,1))),$C493*'Shultis Faw'!$B$2/'Shultis Faw'!$A$2)</f>
        <v>-0.15899150000000001</v>
      </c>
      <c r="L493" s="83">
        <f>_xlfn.IFNA(INDEX('Shultis Faw'!$E$2:$E$26,MATCH($C493,'Shultis Faw'!$A$2:$A$26,1))+($C493-INDEX('Shultis Faw'!$A$2:$A$26,MATCH($C493,'Shultis Faw'!$A$2:$A$26,1)))*(INDEX('Shultis Faw'!$E$2:$E$26,MATCH($C493,'Shultis Faw'!$A$2:$A$26,1)+1)-INDEX('Shultis Faw'!$E$2:$E$26,MATCH($C493,'Shultis Faw'!$A$2:$A$26,1)))/(INDEX('Shultis Faw'!$A$2:$A$26,MATCH($C493,'Shultis Faw'!$A$2:$A$26,1)+1)-INDEX('Shultis Faw'!$A$2:$A$26,MATCH($C493,'Shultis Faw'!$A$2:$A$26,1))),$C493*'Shultis Faw'!$E$2/'Shultis Faw'!$A$2)</f>
        <v>6.34966E-2</v>
      </c>
      <c r="M493" s="83">
        <f>_xlfn.IFNA(INDEX('Shultis Faw'!$F$2:$F$26,MATCH($C493,'Shultis Faw'!$A$2:$A$26,1))+($C493-INDEX('Shultis Faw'!$A$2:$A$26,MATCH($C493,'Shultis Faw'!$A$2:$A$26,1)))*(INDEX('Shultis Faw'!$F$2:$F$26,MATCH($C493,'Shultis Faw'!$A$2:$A$26,1)+1)-INDEX('Shultis Faw'!$F$2:$F$26,MATCH($C493,'Shultis Faw'!$A$2:$A$26,1)))/(INDEX('Shultis Faw'!$A$2:$A$26,MATCH($C493,'Shultis Faw'!$A$2:$A$26,1)+1)-INDEX('Shultis Faw'!$A$2:$A$26,MATCH($C493,'Shultis Faw'!$A$2:$A$26,1))),$C493*'Shultis Faw'!$F$2/'Shultis Faw'!$A$2)</f>
        <v>14.220017</v>
      </c>
      <c r="N493" s="83">
        <f>J493*(H493*'Externe blootstelling'!$D$23/2)^K493+L493*(TANH(((H493*'Externe blootstelling'!$D$23)/(2*M493))-2)-TANH(-2))/(1-TANH(-2))</f>
        <v>1.8138541573901799</v>
      </c>
      <c r="O493" s="83">
        <f>IF(N493=1,1+(I493-1)*H493*'Externe blootstelling'!$D$23/2,1+(I493-1)*(N493^(H493*'Externe blootstelling'!$D$23/2)-1)/(N493-1))</f>
        <v>4.9876293176757951</v>
      </c>
      <c r="P493" s="67">
        <f>G493*EXP(-H493*'Externe blootstelling'!$D$23/2)*O493</f>
        <v>9.3488094258717493E-7</v>
      </c>
      <c r="Q493" s="68"/>
    </row>
    <row r="494" spans="1:17" x14ac:dyDescent="0.2">
      <c r="A494" s="217"/>
      <c r="B494" s="64" t="s">
        <v>104</v>
      </c>
      <c r="C494" s="66">
        <v>0.47638999999999998</v>
      </c>
      <c r="D494" s="66">
        <f t="shared" si="35"/>
        <v>7.6222399999999999E-14</v>
      </c>
      <c r="E494" s="66">
        <v>1.5000000000000002E-8</v>
      </c>
      <c r="F494" s="66">
        <f>_xlfn.IFNA(INDEX('hp (pSv cm2)'!$B$2:$B$52,MATCH($C494,'hp (pSv cm2)'!$A$2:$A$52,1))+($C494-INDEX('hp (pSv cm2)'!$A$2:$A$52,MATCH($C494,'hp (pSv cm2)'!$A$2:$A$52,1)))*(INDEX('hp (pSv cm2)'!$B$2:$B$52,MATCH($C494,'hp (pSv cm2)'!$A$2:$A$52,1)+1)-INDEX('hp (pSv cm2)'!$B$2:$B$52,MATCH($C494,'hp (pSv cm2)'!$A$2:$A$52,1)))/(INDEX('hp (pSv cm2)'!$A$2:$A$52,MATCH($C494,'hp (pSv cm2)'!$A$2:$A$52,1)+1)-INDEX('hp (pSv cm2)'!$A$2:$A$52,MATCH($C494,'hp (pSv cm2)'!$A$2:$A$52,1))),$C494*'hp (pSv cm2)'!$B$2/'hp (pSv cm2)'!$A$2)</f>
        <v>2.3590330000000002</v>
      </c>
      <c r="G494" s="67">
        <f t="shared" si="36"/>
        <v>3.5385495000000004E-8</v>
      </c>
      <c r="H494" s="83">
        <f>_xlfn.IFNA(0.997*(INDEX('Mass attenuation coefficients'!$B$2:$B$37,MATCH($C494,'Mass attenuation coefficients'!$A$2:$A$37,1))+($C494-INDEX('Mass attenuation coefficients'!$A$2:$A$37,MATCH($C494,'Mass attenuation coefficients'!$A$2:$A$37,1)))*(INDEX('Mass attenuation coefficients'!$B$2:$B$37,MATCH($C494,'Mass attenuation coefficients'!$A$2:$A$37,1)+1)-INDEX('Mass attenuation coefficients'!$B$2:$B$37,MATCH($C494,'Mass attenuation coefficients'!$A$2:$A$37,1)))/(INDEX('Mass attenuation coefficients'!$A$2:$A$37,MATCH($C494,'Mass attenuation coefficients'!$A$2:$A$37,1)+1)-INDEX('Mass attenuation coefficients'!$A$2:$A$37,MATCH($C494,'Mass attenuation coefficients'!$A$2:$A$37,1)))),0.997*$C494*'Mass attenuation coefficients'!$B$2/'Mass attenuation coefficients'!$A$2)</f>
        <v>9.8752055391000002E-2</v>
      </c>
      <c r="I494" s="83">
        <f>_xlfn.IFNA(INDEX('Shultis Faw'!$C$2:$C$26,MATCH($C494,'Shultis Faw'!$A$2:$A$26,1))+($C494-INDEX('Shultis Faw'!$A$2:$A$26,MATCH($C494,'Shultis Faw'!$A$2:$A$26,1)))*(INDEX('Shultis Faw'!$C$2:$C$26,MATCH($C494,'Shultis Faw'!$A$2:$A$26,1)+1)-INDEX('Shultis Faw'!$C$2:$C$26,MATCH($C494,'Shultis Faw'!$A$2:$A$26,1)))/(INDEX('Shultis Faw'!$A$2:$A$26,MATCH($C494,'Shultis Faw'!$A$2:$A$26,1)+1)-INDEX('Shultis Faw'!$A$2:$A$26,MATCH($C494,'Shultis Faw'!$A$2:$A$26,1))),$C494*'Shultis Faw'!$C$2/'Shultis Faw'!$A$2)</f>
        <v>2.537776</v>
      </c>
      <c r="J494" s="83">
        <f>_xlfn.IFNA(INDEX('Shultis Faw'!$D$2:$D$26,MATCH($C494,'Shultis Faw'!$A$2:$A$26,1))+($C494-INDEX('Shultis Faw'!$A$2:$A$26,MATCH($C494,'Shultis Faw'!$A$2:$A$26,1)))*(INDEX('Shultis Faw'!$D$2:$D$26,MATCH($C494,'Shultis Faw'!$A$2:$A$26,1)+1)-INDEX('Shultis Faw'!$D$2:$D$26,MATCH($C494,'Shultis Faw'!$A$2:$A$26,1)))/(INDEX('Shultis Faw'!$A$2:$A$26,MATCH($C494,'Shultis Faw'!$A$2:$A$26,1)+1)-INDEX('Shultis Faw'!$A$2:$A$26,MATCH($C494,'Shultis Faw'!$A$2:$A$26,1))),$C494*'Shultis Faw'!$D$2/'Shultis Faw'!$A$2)</f>
        <v>1.7933876</v>
      </c>
      <c r="K494" s="83">
        <f>_xlfn.IFNA(INDEX('Shultis Faw'!$B$2:$B$26,MATCH($C494,'Shultis Faw'!$A$2:$A$26,1))+($C494-INDEX('Shultis Faw'!$A$2:$A$26,MATCH($C494,'Shultis Faw'!$A$2:$A$26,1)))*(INDEX('Shultis Faw'!$B$2:$B$26,MATCH($C494,'Shultis Faw'!$A$2:$A$26,1)+1)-INDEX('Shultis Faw'!$B$2:$B$26,MATCH($C494,'Shultis Faw'!$A$2:$A$26,1)))/(INDEX('Shultis Faw'!$A$2:$A$26,MATCH($C494,'Shultis Faw'!$A$2:$A$26,1)+1)-INDEX('Shultis Faw'!$A$2:$A$26,MATCH($C494,'Shultis Faw'!$A$2:$A$26,1))),$C494*'Shultis Faw'!$B$2/'Shultis Faw'!$A$2)</f>
        <v>-0.13830540000000002</v>
      </c>
      <c r="L494" s="83">
        <f>_xlfn.IFNA(INDEX('Shultis Faw'!$E$2:$E$26,MATCH($C494,'Shultis Faw'!$A$2:$A$26,1))+($C494-INDEX('Shultis Faw'!$A$2:$A$26,MATCH($C494,'Shultis Faw'!$A$2:$A$26,1)))*(INDEX('Shultis Faw'!$E$2:$E$26,MATCH($C494,'Shultis Faw'!$A$2:$A$26,1)+1)-INDEX('Shultis Faw'!$E$2:$E$26,MATCH($C494,'Shultis Faw'!$A$2:$A$26,1)))/(INDEX('Shultis Faw'!$A$2:$A$26,MATCH($C494,'Shultis Faw'!$A$2:$A$26,1)+1)-INDEX('Shultis Faw'!$A$2:$A$26,MATCH($C494,'Shultis Faw'!$A$2:$A$26,1))),$C494*'Shultis Faw'!$E$2/'Shultis Faw'!$A$2)</f>
        <v>5.5756890000000003E-2</v>
      </c>
      <c r="M494" s="83">
        <f>_xlfn.IFNA(INDEX('Shultis Faw'!$F$2:$F$26,MATCH($C494,'Shultis Faw'!$A$2:$A$26,1))+($C494-INDEX('Shultis Faw'!$A$2:$A$26,MATCH($C494,'Shultis Faw'!$A$2:$A$26,1)))*(INDEX('Shultis Faw'!$F$2:$F$26,MATCH($C494,'Shultis Faw'!$A$2:$A$26,1)+1)-INDEX('Shultis Faw'!$F$2:$F$26,MATCH($C494,'Shultis Faw'!$A$2:$A$26,1)))/(INDEX('Shultis Faw'!$A$2:$A$26,MATCH($C494,'Shultis Faw'!$A$2:$A$26,1)+1)-INDEX('Shultis Faw'!$A$2:$A$26,MATCH($C494,'Shultis Faw'!$A$2:$A$26,1))),$C494*'Shultis Faw'!$F$2/'Shultis Faw'!$A$2)</f>
        <v>14.308751000000001</v>
      </c>
      <c r="N494" s="83">
        <f>J494*(H494*'Externe blootstelling'!$D$23/2)^K494+L494*(TANH(((H494*'Externe blootstelling'!$D$23)/(2*M494))-2)-TANH(-2))/(1-TANH(-2))</f>
        <v>1.6987631333130617</v>
      </c>
      <c r="O494" s="83">
        <f>IF(N494=1,1+(I494-1)*H494*'Externe blootstelling'!$D$23/2,1+(I494-1)*(N494^(H494*'Externe blootstelling'!$D$23/2)-1)/(N494-1))</f>
        <v>3.623812252046362</v>
      </c>
      <c r="P494" s="67">
        <f>G494*EXP(-H494*'Externe blootstelling'!$D$23/2)*O494</f>
        <v>2.9152706025502708E-8</v>
      </c>
      <c r="Q494" s="68"/>
    </row>
    <row r="495" spans="1:17" x14ac:dyDescent="0.2">
      <c r="A495" s="217"/>
      <c r="B495" s="64" t="s">
        <v>104</v>
      </c>
      <c r="C495" s="66">
        <v>0.6303200000000001</v>
      </c>
      <c r="D495" s="66">
        <f t="shared" si="35"/>
        <v>1.0085120000000002E-13</v>
      </c>
      <c r="E495" s="66">
        <v>2.9300000000000002E-4</v>
      </c>
      <c r="F495" s="66">
        <f>_xlfn.IFNA(INDEX('hp (pSv cm2)'!$B$2:$B$52,MATCH($C495,'hp (pSv cm2)'!$A$2:$A$52,1))+($C495-INDEX('hp (pSv cm2)'!$A$2:$A$52,MATCH($C495,'hp (pSv cm2)'!$A$2:$A$52,1)))*(INDEX('hp (pSv cm2)'!$B$2:$B$52,MATCH($C495,'hp (pSv cm2)'!$A$2:$A$52,1)+1)-INDEX('hp (pSv cm2)'!$B$2:$B$52,MATCH($C495,'hp (pSv cm2)'!$A$2:$A$52,1)))/(INDEX('hp (pSv cm2)'!$A$2:$A$52,MATCH($C495,'hp (pSv cm2)'!$A$2:$A$52,1)+1)-INDEX('hp (pSv cm2)'!$A$2:$A$52,MATCH($C495,'hp (pSv cm2)'!$A$2:$A$52,1))),$C495*'hp (pSv cm2)'!$B$2/'hp (pSv cm2)'!$A$2)</f>
        <v>3.0343120000000008</v>
      </c>
      <c r="G495" s="67">
        <f t="shared" si="36"/>
        <v>8.8905341600000029E-4</v>
      </c>
      <c r="H495" s="83">
        <f>_xlfn.IFNA(0.997*(INDEX('Mass attenuation coefficients'!$B$2:$B$37,MATCH($C495,'Mass attenuation coefficients'!$A$2:$A$37,1))+($C495-INDEX('Mass attenuation coefficients'!$A$2:$A$37,MATCH($C495,'Mass attenuation coefficients'!$A$2:$A$37,1)))*(INDEX('Mass attenuation coefficients'!$B$2:$B$37,MATCH($C495,'Mass attenuation coefficients'!$A$2:$A$37,1)+1)-INDEX('Mass attenuation coefficients'!$B$2:$B$37,MATCH($C495,'Mass attenuation coefficients'!$A$2:$A$37,1)))/(INDEX('Mass attenuation coefficients'!$A$2:$A$37,MATCH($C495,'Mass attenuation coefficients'!$A$2:$A$37,1)+1)-INDEX('Mass attenuation coefficients'!$A$2:$A$37,MATCH($C495,'Mass attenuation coefficients'!$A$2:$A$37,1)))),0.997*$C495*'Mass attenuation coefficients'!$B$2/'Mass attenuation coefficients'!$A$2)</f>
        <v>8.7642325867999984E-2</v>
      </c>
      <c r="I495" s="83">
        <f>_xlfn.IFNA(INDEX('Shultis Faw'!$C$2:$C$26,MATCH($C495,'Shultis Faw'!$A$2:$A$26,1))+($C495-INDEX('Shultis Faw'!$A$2:$A$26,MATCH($C495,'Shultis Faw'!$A$2:$A$26,1)))*(INDEX('Shultis Faw'!$C$2:$C$26,MATCH($C495,'Shultis Faw'!$A$2:$A$26,1)+1)-INDEX('Shultis Faw'!$C$2:$C$26,MATCH($C495,'Shultis Faw'!$A$2:$A$26,1)))/(INDEX('Shultis Faw'!$A$2:$A$26,MATCH($C495,'Shultis Faw'!$A$2:$A$26,1)+1)-INDEX('Shultis Faw'!$A$2:$A$26,MATCH($C495,'Shultis Faw'!$A$2:$A$26,1))),$C495*'Shultis Faw'!$C$2/'Shultis Faw'!$A$2)</f>
        <v>2.3519859999999997</v>
      </c>
      <c r="J495" s="83">
        <f>_xlfn.IFNA(INDEX('Shultis Faw'!$D$2:$D$26,MATCH($C495,'Shultis Faw'!$A$2:$A$26,1))+($C495-INDEX('Shultis Faw'!$A$2:$A$26,MATCH($C495,'Shultis Faw'!$A$2:$A$26,1)))*(INDEX('Shultis Faw'!$D$2:$D$26,MATCH($C495,'Shultis Faw'!$A$2:$A$26,1)+1)-INDEX('Shultis Faw'!$D$2:$D$26,MATCH($C495,'Shultis Faw'!$A$2:$A$26,1)))/(INDEX('Shultis Faw'!$A$2:$A$26,MATCH($C495,'Shultis Faw'!$A$2:$A$26,1)+1)-INDEX('Shultis Faw'!$A$2:$A$26,MATCH($C495,'Shultis Faw'!$A$2:$A$26,1))),$C495*'Shultis Faw'!$D$2/'Shultis Faw'!$A$2)</f>
        <v>1.658534</v>
      </c>
      <c r="K495" s="83">
        <f>_xlfn.IFNA(INDEX('Shultis Faw'!$B$2:$B$26,MATCH($C495,'Shultis Faw'!$A$2:$A$26,1))+($C495-INDEX('Shultis Faw'!$A$2:$A$26,MATCH($C495,'Shultis Faw'!$A$2:$A$26,1)))*(INDEX('Shultis Faw'!$B$2:$B$26,MATCH($C495,'Shultis Faw'!$A$2:$A$26,1)+1)-INDEX('Shultis Faw'!$B$2:$B$26,MATCH($C495,'Shultis Faw'!$A$2:$A$26,1)))/(INDEX('Shultis Faw'!$A$2:$A$26,MATCH($C495,'Shultis Faw'!$A$2:$A$26,1)+1)-INDEX('Shultis Faw'!$A$2:$A$26,MATCH($C495,'Shultis Faw'!$A$2:$A$26,1))),$C495*'Shultis Faw'!$B$2/'Shultis Faw'!$A$2)</f>
        <v>-0.12111959999999999</v>
      </c>
      <c r="L495" s="83">
        <f>_xlfn.IFNA(INDEX('Shultis Faw'!$E$2:$E$26,MATCH($C495,'Shultis Faw'!$A$2:$A$26,1))+($C495-INDEX('Shultis Faw'!$A$2:$A$26,MATCH($C495,'Shultis Faw'!$A$2:$A$26,1)))*(INDEX('Shultis Faw'!$E$2:$E$26,MATCH($C495,'Shultis Faw'!$A$2:$A$26,1)+1)-INDEX('Shultis Faw'!$E$2:$E$26,MATCH($C495,'Shultis Faw'!$A$2:$A$26,1)))/(INDEX('Shultis Faw'!$A$2:$A$26,MATCH($C495,'Shultis Faw'!$A$2:$A$26,1)+1)-INDEX('Shultis Faw'!$A$2:$A$26,MATCH($C495,'Shultis Faw'!$A$2:$A$26,1))),$C495*'Shultis Faw'!$E$2/'Shultis Faw'!$A$2)</f>
        <v>4.9299439999999993E-2</v>
      </c>
      <c r="M495" s="83">
        <f>_xlfn.IFNA(INDEX('Shultis Faw'!$F$2:$F$26,MATCH($C495,'Shultis Faw'!$A$2:$A$26,1))+($C495-INDEX('Shultis Faw'!$A$2:$A$26,MATCH($C495,'Shultis Faw'!$A$2:$A$26,1)))*(INDEX('Shultis Faw'!$F$2:$F$26,MATCH($C495,'Shultis Faw'!$A$2:$A$26,1)+1)-INDEX('Shultis Faw'!$F$2:$F$26,MATCH($C495,'Shultis Faw'!$A$2:$A$26,1)))/(INDEX('Shultis Faw'!$A$2:$A$26,MATCH($C495,'Shultis Faw'!$A$2:$A$26,1)+1)-INDEX('Shultis Faw'!$A$2:$A$26,MATCH($C495,'Shultis Faw'!$A$2:$A$26,1))),$C495*'Shultis Faw'!$F$2/'Shultis Faw'!$A$2)</f>
        <v>14.249708</v>
      </c>
      <c r="N495" s="83">
        <f>J495*(H495*'Externe blootstelling'!$D$23/2)^K495+L495*(TANH(((H495*'Externe blootstelling'!$D$23)/(2*M495))-2)-TANH(-2))/(1-TANH(-2))</f>
        <v>1.6046606445114939</v>
      </c>
      <c r="O495" s="83">
        <f>IF(N495=1,1+(I495-1)*H495*'Externe blootstelling'!$D$23/2,1+(I495-1)*(N495^(H495*'Externe blootstelling'!$D$23/2)-1)/(N495-1))</f>
        <v>2.9276142489838555</v>
      </c>
      <c r="P495" s="67">
        <f>G495*EXP(-H495*'Externe blootstelling'!$D$23/2)*O495</f>
        <v>6.9904161326683105E-4</v>
      </c>
      <c r="Q495" s="68"/>
    </row>
    <row r="496" spans="1:17" x14ac:dyDescent="0.2">
      <c r="A496" s="217"/>
      <c r="B496" s="64" t="s">
        <v>104</v>
      </c>
      <c r="C496" s="66">
        <v>0.76747799999999999</v>
      </c>
      <c r="D496" s="66">
        <f t="shared" si="35"/>
        <v>1.2279647999999999E-13</v>
      </c>
      <c r="E496" s="66">
        <v>3.2699999999999998E-4</v>
      </c>
      <c r="F496" s="66">
        <f>_xlfn.IFNA(INDEX('hp (pSv cm2)'!$B$2:$B$52,MATCH($C496,'hp (pSv cm2)'!$A$2:$A$52,1))+($C496-INDEX('hp (pSv cm2)'!$A$2:$A$52,MATCH($C496,'hp (pSv cm2)'!$A$2:$A$52,1)))*(INDEX('hp (pSv cm2)'!$B$2:$B$52,MATCH($C496,'hp (pSv cm2)'!$A$2:$A$52,1)+1)-INDEX('hp (pSv cm2)'!$B$2:$B$52,MATCH($C496,'hp (pSv cm2)'!$A$2:$A$52,1)))/(INDEX('hp (pSv cm2)'!$A$2:$A$52,MATCH($C496,'hp (pSv cm2)'!$A$2:$A$52,1)+1)-INDEX('hp (pSv cm2)'!$A$2:$A$52,MATCH($C496,'hp (pSv cm2)'!$A$2:$A$52,1))),$C496*'hp (pSv cm2)'!$B$2/'hp (pSv cm2)'!$A$2)</f>
        <v>3.5966597999999999</v>
      </c>
      <c r="G496" s="67">
        <f t="shared" si="36"/>
        <v>1.1761077545999999E-3</v>
      </c>
      <c r="H496" s="83">
        <f>_xlfn.IFNA(0.997*(INDEX('Mass attenuation coefficients'!$B$2:$B$37,MATCH($C496,'Mass attenuation coefficients'!$A$2:$A$37,1))+($C496-INDEX('Mass attenuation coefficients'!$A$2:$A$37,MATCH($C496,'Mass attenuation coefficients'!$A$2:$A$37,1)))*(INDEX('Mass attenuation coefficients'!$B$2:$B$37,MATCH($C496,'Mass attenuation coefficients'!$A$2:$A$37,1)+1)-INDEX('Mass attenuation coefficients'!$B$2:$B$37,MATCH($C496,'Mass attenuation coefficients'!$A$2:$A$37,1)))/(INDEX('Mass attenuation coefficients'!$A$2:$A$37,MATCH($C496,'Mass attenuation coefficients'!$A$2:$A$37,1)+1)-INDEX('Mass attenuation coefficients'!$A$2:$A$37,MATCH($C496,'Mass attenuation coefficients'!$A$2:$A$37,1)))),0.997*$C496*'Mass attenuation coefficients'!$B$2/'Mass attenuation coefficients'!$A$2)</f>
        <v>8.0182802874700004E-2</v>
      </c>
      <c r="I496" s="83">
        <f>_xlfn.IFNA(INDEX('Shultis Faw'!$C$2:$C$26,MATCH($C496,'Shultis Faw'!$A$2:$A$26,1))+($C496-INDEX('Shultis Faw'!$A$2:$A$26,MATCH($C496,'Shultis Faw'!$A$2:$A$26,1)))*(INDEX('Shultis Faw'!$C$2:$C$26,MATCH($C496,'Shultis Faw'!$A$2:$A$26,1)+1)-INDEX('Shultis Faw'!$C$2:$C$26,MATCH($C496,'Shultis Faw'!$A$2:$A$26,1)))/(INDEX('Shultis Faw'!$A$2:$A$26,MATCH($C496,'Shultis Faw'!$A$2:$A$26,1)+1)-INDEX('Shultis Faw'!$A$2:$A$26,MATCH($C496,'Shultis Faw'!$A$2:$A$26,1))),$C496*'Shultis Faw'!$C$2/'Shultis Faw'!$A$2)</f>
        <v>2.2388306500000001</v>
      </c>
      <c r="J496" s="83">
        <f>_xlfn.IFNA(INDEX('Shultis Faw'!$D$2:$D$26,MATCH($C496,'Shultis Faw'!$A$2:$A$26,1))+($C496-INDEX('Shultis Faw'!$A$2:$A$26,MATCH($C496,'Shultis Faw'!$A$2:$A$26,1)))*(INDEX('Shultis Faw'!$D$2:$D$26,MATCH($C496,'Shultis Faw'!$A$2:$A$26,1)+1)-INDEX('Shultis Faw'!$D$2:$D$26,MATCH($C496,'Shultis Faw'!$A$2:$A$26,1)))/(INDEX('Shultis Faw'!$A$2:$A$26,MATCH($C496,'Shultis Faw'!$A$2:$A$26,1)+1)-INDEX('Shultis Faw'!$A$2:$A$26,MATCH($C496,'Shultis Faw'!$A$2:$A$26,1))),$C496*'Shultis Faw'!$D$2/'Shultis Faw'!$A$2)</f>
        <v>1.5659523500000001</v>
      </c>
      <c r="K496" s="83">
        <f>_xlfn.IFNA(INDEX('Shultis Faw'!$B$2:$B$26,MATCH($C496,'Shultis Faw'!$A$2:$A$26,1))+($C496-INDEX('Shultis Faw'!$A$2:$A$26,MATCH($C496,'Shultis Faw'!$A$2:$A$26,1)))*(INDEX('Shultis Faw'!$B$2:$B$26,MATCH($C496,'Shultis Faw'!$A$2:$A$26,1)+1)-INDEX('Shultis Faw'!$B$2:$B$26,MATCH($C496,'Shultis Faw'!$A$2:$A$26,1)))/(INDEX('Shultis Faw'!$A$2:$A$26,MATCH($C496,'Shultis Faw'!$A$2:$A$26,1)+1)-INDEX('Shultis Faw'!$A$2:$A$26,MATCH($C496,'Shultis Faw'!$A$2:$A$26,1))),$C496*'Shultis Faw'!$B$2/'Shultis Faw'!$A$2)</f>
        <v>-0.10808959</v>
      </c>
      <c r="L496" s="83">
        <f>_xlfn.IFNA(INDEX('Shultis Faw'!$E$2:$E$26,MATCH($C496,'Shultis Faw'!$A$2:$A$26,1))+($C496-INDEX('Shultis Faw'!$A$2:$A$26,MATCH($C496,'Shultis Faw'!$A$2:$A$26,1)))*(INDEX('Shultis Faw'!$E$2:$E$26,MATCH($C496,'Shultis Faw'!$A$2:$A$26,1)+1)-INDEX('Shultis Faw'!$E$2:$E$26,MATCH($C496,'Shultis Faw'!$A$2:$A$26,1)))/(INDEX('Shultis Faw'!$A$2:$A$26,MATCH($C496,'Shultis Faw'!$A$2:$A$26,1)+1)-INDEX('Shultis Faw'!$A$2:$A$26,MATCH($C496,'Shultis Faw'!$A$2:$A$26,1))),$C496*'Shultis Faw'!$E$2/'Shultis Faw'!$A$2)</f>
        <v>4.4773226000000006E-2</v>
      </c>
      <c r="M496" s="83">
        <f>_xlfn.IFNA(INDEX('Shultis Faw'!$F$2:$F$26,MATCH($C496,'Shultis Faw'!$A$2:$A$26,1))+($C496-INDEX('Shultis Faw'!$A$2:$A$26,MATCH($C496,'Shultis Faw'!$A$2:$A$26,1)))*(INDEX('Shultis Faw'!$F$2:$F$26,MATCH($C496,'Shultis Faw'!$A$2:$A$26,1)+1)-INDEX('Shultis Faw'!$F$2:$F$26,MATCH($C496,'Shultis Faw'!$A$2:$A$26,1)))/(INDEX('Shultis Faw'!$A$2:$A$26,MATCH($C496,'Shultis Faw'!$A$2:$A$26,1)+1)-INDEX('Shultis Faw'!$A$2:$A$26,MATCH($C496,'Shultis Faw'!$A$2:$A$26,1))),$C496*'Shultis Faw'!$F$2/'Shultis Faw'!$A$2)</f>
        <v>14.3388607</v>
      </c>
      <c r="N496" s="83">
        <f>J496*(H496*'Externe blootstelling'!$D$23/2)^K496+L496*(TANH(((H496*'Externe blootstelling'!$D$23)/(2*M496))-2)-TANH(-2))/(1-TANH(-2))</f>
        <v>1.5351619878578477</v>
      </c>
      <c r="O496" s="83">
        <f>IF(N496=1,1+(I496-1)*H496*'Externe blootstelling'!$D$23/2,1+(I496-1)*(N496^(H496*'Externe blootstelling'!$D$23/2)-1)/(N496-1))</f>
        <v>2.5614723893699738</v>
      </c>
      <c r="P496" s="67">
        <f>G496*EXP(-H496*'Externe blootstelling'!$D$23/2)*O496</f>
        <v>9.0488327226113138E-4</v>
      </c>
      <c r="Q496" s="68"/>
    </row>
    <row r="497" spans="1:17" x14ac:dyDescent="0.2">
      <c r="A497" s="217"/>
      <c r="B497" s="64" t="s">
        <v>104</v>
      </c>
      <c r="C497" s="66">
        <v>0.77332000000000001</v>
      </c>
      <c r="D497" s="66">
        <f t="shared" si="35"/>
        <v>1.237312E-13</v>
      </c>
      <c r="E497" s="66">
        <v>2.1999999999999998E-7</v>
      </c>
      <c r="F497" s="66">
        <f>_xlfn.IFNA(INDEX('hp (pSv cm2)'!$B$2:$B$52,MATCH($C497,'hp (pSv cm2)'!$A$2:$A$52,1))+($C497-INDEX('hp (pSv cm2)'!$A$2:$A$52,MATCH($C497,'hp (pSv cm2)'!$A$2:$A$52,1)))*(INDEX('hp (pSv cm2)'!$B$2:$B$52,MATCH($C497,'hp (pSv cm2)'!$A$2:$A$52,1)+1)-INDEX('hp (pSv cm2)'!$B$2:$B$52,MATCH($C497,'hp (pSv cm2)'!$A$2:$A$52,1)))/(INDEX('hp (pSv cm2)'!$A$2:$A$52,MATCH($C497,'hp (pSv cm2)'!$A$2:$A$52,1)+1)-INDEX('hp (pSv cm2)'!$A$2:$A$52,MATCH($C497,'hp (pSv cm2)'!$A$2:$A$52,1))),$C497*'hp (pSv cm2)'!$B$2/'hp (pSv cm2)'!$A$2)</f>
        <v>3.6206119999999999</v>
      </c>
      <c r="G497" s="67">
        <f t="shared" si="36"/>
        <v>7.9653463999999989E-7</v>
      </c>
      <c r="H497" s="83">
        <f>_xlfn.IFNA(0.997*(INDEX('Mass attenuation coefficients'!$B$2:$B$37,MATCH($C497,'Mass attenuation coefficients'!$A$2:$A$37,1))+($C497-INDEX('Mass attenuation coefficients'!$A$2:$A$37,MATCH($C497,'Mass attenuation coefficients'!$A$2:$A$37,1)))*(INDEX('Mass attenuation coefficients'!$B$2:$B$37,MATCH($C497,'Mass attenuation coefficients'!$A$2:$A$37,1)+1)-INDEX('Mass attenuation coefficients'!$B$2:$B$37,MATCH($C497,'Mass attenuation coefficients'!$A$2:$A$37,1)))/(INDEX('Mass attenuation coefficients'!$A$2:$A$37,MATCH($C497,'Mass attenuation coefficients'!$A$2:$A$37,1)+1)-INDEX('Mass attenuation coefficients'!$A$2:$A$37,MATCH($C497,'Mass attenuation coefficients'!$A$2:$A$37,1)))),0.997*$C497*'Mass attenuation coefficients'!$B$2/'Mass attenuation coefficients'!$A$2)</f>
        <v>7.9865077817999994E-2</v>
      </c>
      <c r="I497" s="83">
        <f>_xlfn.IFNA(INDEX('Shultis Faw'!$C$2:$C$26,MATCH($C497,'Shultis Faw'!$A$2:$A$26,1))+($C497-INDEX('Shultis Faw'!$A$2:$A$26,MATCH($C497,'Shultis Faw'!$A$2:$A$26,1)))*(INDEX('Shultis Faw'!$C$2:$C$26,MATCH($C497,'Shultis Faw'!$A$2:$A$26,1)+1)-INDEX('Shultis Faw'!$C$2:$C$26,MATCH($C497,'Shultis Faw'!$A$2:$A$26,1)))/(INDEX('Shultis Faw'!$A$2:$A$26,MATCH($C497,'Shultis Faw'!$A$2:$A$26,1)+1)-INDEX('Shultis Faw'!$A$2:$A$26,MATCH($C497,'Shultis Faw'!$A$2:$A$26,1))),$C497*'Shultis Faw'!$C$2/'Shultis Faw'!$A$2)</f>
        <v>2.2340110000000002</v>
      </c>
      <c r="J497" s="83">
        <f>_xlfn.IFNA(INDEX('Shultis Faw'!$D$2:$D$26,MATCH($C497,'Shultis Faw'!$A$2:$A$26,1))+($C497-INDEX('Shultis Faw'!$A$2:$A$26,MATCH($C497,'Shultis Faw'!$A$2:$A$26,1)))*(INDEX('Shultis Faw'!$D$2:$D$26,MATCH($C497,'Shultis Faw'!$A$2:$A$26,1)+1)-INDEX('Shultis Faw'!$D$2:$D$26,MATCH($C497,'Shultis Faw'!$A$2:$A$26,1)))/(INDEX('Shultis Faw'!$A$2:$A$26,MATCH($C497,'Shultis Faw'!$A$2:$A$26,1)+1)-INDEX('Shultis Faw'!$A$2:$A$26,MATCH($C497,'Shultis Faw'!$A$2:$A$26,1))),$C497*'Shultis Faw'!$D$2/'Shultis Faw'!$A$2)</f>
        <v>1.562009</v>
      </c>
      <c r="K497" s="83">
        <f>_xlfn.IFNA(INDEX('Shultis Faw'!$B$2:$B$26,MATCH($C497,'Shultis Faw'!$A$2:$A$26,1))+($C497-INDEX('Shultis Faw'!$A$2:$A$26,MATCH($C497,'Shultis Faw'!$A$2:$A$26,1)))*(INDEX('Shultis Faw'!$B$2:$B$26,MATCH($C497,'Shultis Faw'!$A$2:$A$26,1)+1)-INDEX('Shultis Faw'!$B$2:$B$26,MATCH($C497,'Shultis Faw'!$A$2:$A$26,1)))/(INDEX('Shultis Faw'!$A$2:$A$26,MATCH($C497,'Shultis Faw'!$A$2:$A$26,1)+1)-INDEX('Shultis Faw'!$A$2:$A$26,MATCH($C497,'Shultis Faw'!$A$2:$A$26,1))),$C497*'Shultis Faw'!$B$2/'Shultis Faw'!$A$2)</f>
        <v>-0.10753459999999999</v>
      </c>
      <c r="L497" s="83">
        <f>_xlfn.IFNA(INDEX('Shultis Faw'!$E$2:$E$26,MATCH($C497,'Shultis Faw'!$A$2:$A$26,1))+($C497-INDEX('Shultis Faw'!$A$2:$A$26,MATCH($C497,'Shultis Faw'!$A$2:$A$26,1)))*(INDEX('Shultis Faw'!$E$2:$E$26,MATCH($C497,'Shultis Faw'!$A$2:$A$26,1)+1)-INDEX('Shultis Faw'!$E$2:$E$26,MATCH($C497,'Shultis Faw'!$A$2:$A$26,1)))/(INDEX('Shultis Faw'!$A$2:$A$26,MATCH($C497,'Shultis Faw'!$A$2:$A$26,1)+1)-INDEX('Shultis Faw'!$A$2:$A$26,MATCH($C497,'Shultis Faw'!$A$2:$A$26,1))),$C497*'Shultis Faw'!$E$2/'Shultis Faw'!$A$2)</f>
        <v>4.4580439999999999E-2</v>
      </c>
      <c r="M497" s="83">
        <f>_xlfn.IFNA(INDEX('Shultis Faw'!$F$2:$F$26,MATCH($C497,'Shultis Faw'!$A$2:$A$26,1))+($C497-INDEX('Shultis Faw'!$A$2:$A$26,MATCH($C497,'Shultis Faw'!$A$2:$A$26,1)))*(INDEX('Shultis Faw'!$F$2:$F$26,MATCH($C497,'Shultis Faw'!$A$2:$A$26,1)+1)-INDEX('Shultis Faw'!$F$2:$F$26,MATCH($C497,'Shultis Faw'!$A$2:$A$26,1)))/(INDEX('Shultis Faw'!$A$2:$A$26,MATCH($C497,'Shultis Faw'!$A$2:$A$26,1)+1)-INDEX('Shultis Faw'!$A$2:$A$26,MATCH($C497,'Shultis Faw'!$A$2:$A$26,1))),$C497*'Shultis Faw'!$F$2/'Shultis Faw'!$A$2)</f>
        <v>14.342658</v>
      </c>
      <c r="N497" s="83">
        <f>J497*(H497*'Externe blootstelling'!$D$23/2)^K497+L497*(TANH(((H497*'Externe blootstelling'!$D$23)/(2*M497))-2)-TANH(-2))/(1-TANH(-2))</f>
        <v>1.5321060592635412</v>
      </c>
      <c r="O497" s="83">
        <f>IF(N497=1,1+(I497-1)*H497*'Externe blootstelling'!$D$23/2,1+(I497-1)*(N497^(H497*'Externe blootstelling'!$D$23/2)-1)/(N497-1))</f>
        <v>2.5471650093159335</v>
      </c>
      <c r="P497" s="67">
        <f>G497*EXP(-H497*'Externe blootstelling'!$D$23/2)*O497</f>
        <v>6.1233249719907634E-7</v>
      </c>
      <c r="Q497" s="68"/>
    </row>
    <row r="498" spans="1:17" x14ac:dyDescent="0.2">
      <c r="A498" s="218"/>
      <c r="B498" s="64"/>
      <c r="C498" s="66"/>
      <c r="D498" s="66"/>
      <c r="E498" s="66"/>
      <c r="F498" s="66"/>
      <c r="G498" s="67"/>
      <c r="H498" s="83"/>
      <c r="I498" s="83"/>
      <c r="J498" s="83"/>
      <c r="K498" s="83"/>
      <c r="L498" s="83"/>
      <c r="M498" s="83"/>
      <c r="N498" s="83"/>
      <c r="O498" s="83"/>
      <c r="P498" s="67"/>
      <c r="Q498" s="67">
        <f>SUM(P479:P497)/SUM(G479:G497)</f>
        <v>1.1227562394284381</v>
      </c>
    </row>
    <row r="499" spans="1:17" s="62" customFormat="1" x14ac:dyDescent="0.2">
      <c r="A499" s="69"/>
      <c r="B499" s="70"/>
      <c r="C499" s="71"/>
      <c r="D499" s="71"/>
      <c r="E499" s="71"/>
      <c r="F499" s="71"/>
      <c r="G499" s="73"/>
      <c r="H499" s="84"/>
      <c r="I499" s="84"/>
      <c r="J499" s="84"/>
      <c r="K499" s="84"/>
      <c r="L499" s="84"/>
      <c r="M499" s="84"/>
      <c r="N499" s="84"/>
      <c r="O499" s="84"/>
      <c r="P499" s="73"/>
      <c r="Q499" s="73"/>
    </row>
    <row r="500" spans="1:17" x14ac:dyDescent="0.2">
      <c r="A500" s="216" t="s">
        <v>150</v>
      </c>
      <c r="B500" s="64" t="s">
        <v>102</v>
      </c>
      <c r="C500" s="66">
        <v>1.0369999999999999E-2</v>
      </c>
      <c r="D500" s="66">
        <f t="shared" ref="D500:D556" si="37">C500*1000000*1.6E-19</f>
        <v>1.6591999999999996E-15</v>
      </c>
      <c r="E500" s="66">
        <v>0.03</v>
      </c>
      <c r="F500" s="66">
        <f>_xlfn.IFNA(INDEX('hp (pSv cm2)'!$B$2:$B$52,MATCH($C500,'hp (pSv cm2)'!$A$2:$A$52,1))+($C500-INDEX('hp (pSv cm2)'!$A$2:$A$52,MATCH($C500,'hp (pSv cm2)'!$A$2:$A$52,1)))*(INDEX('hp (pSv cm2)'!$B$2:$B$52,MATCH($C500,'hp (pSv cm2)'!$A$2:$A$52,1)+1)-INDEX('hp (pSv cm2)'!$B$2:$B$52,MATCH($C500,'hp (pSv cm2)'!$A$2:$A$52,1)))/(INDEX('hp (pSv cm2)'!$A$2:$A$52,MATCH($C500,'hp (pSv cm2)'!$A$2:$A$52,1)+1)-INDEX('hp (pSv cm2)'!$A$2:$A$52,MATCH($C500,'hp (pSv cm2)'!$A$2:$A$52,1))),$C500*'hp (pSv cm2)'!$B$2/'hp (pSv cm2)'!$A$2)</f>
        <v>7.5252499999999986E-2</v>
      </c>
      <c r="G500" s="67">
        <f t="shared" ref="G500:G531" si="38">F500*E500</f>
        <v>2.2575749999999995E-3</v>
      </c>
      <c r="H500" s="83">
        <f>_xlfn.IFNA(0.997*(INDEX('Mass attenuation coefficients'!$B$2:$B$37,MATCH($C500,'Mass attenuation coefficients'!$A$2:$A$37,1))+($C500-INDEX('Mass attenuation coefficients'!$A$2:$A$37,MATCH($C500,'Mass attenuation coefficients'!$A$2:$A$37,1)))*(INDEX('Mass attenuation coefficients'!$B$2:$B$37,MATCH($C500,'Mass attenuation coefficients'!$A$2:$A$37,1)+1)-INDEX('Mass attenuation coefficients'!$B$2:$B$37,MATCH($C500,'Mass attenuation coefficients'!$A$2:$A$37,1)))/(INDEX('Mass attenuation coefficients'!$A$2:$A$37,MATCH($C500,'Mass attenuation coefficients'!$A$2:$A$37,1)+1)-INDEX('Mass attenuation coefficients'!$A$2:$A$37,MATCH($C500,'Mass attenuation coefficients'!$A$2:$A$37,1)))),0.997*$C500*'Mass attenuation coefficients'!$B$2/'Mass attenuation coefficients'!$A$2)</f>
        <v>5.0432806320000001</v>
      </c>
      <c r="I500" s="83">
        <f>_xlfn.IFNA(INDEX('Shultis Faw'!$C$2:$C$26,MATCH($C500,'Shultis Faw'!$A$2:$A$26,1))+($C500-INDEX('Shultis Faw'!$A$2:$A$26,MATCH($C500,'Shultis Faw'!$A$2:$A$26,1)))*(INDEX('Shultis Faw'!$C$2:$C$26,MATCH($C500,'Shultis Faw'!$A$2:$A$26,1)+1)-INDEX('Shultis Faw'!$C$2:$C$26,MATCH($C500,'Shultis Faw'!$A$2:$A$26,1)))/(INDEX('Shultis Faw'!$A$2:$A$26,MATCH($C500,'Shultis Faw'!$A$2:$A$26,1)+1)-INDEX('Shultis Faw'!$A$2:$A$26,MATCH($C500,'Shultis Faw'!$A$2:$A$26,1))),$C500*'Shultis Faw'!$C$2/'Shultis Faw'!$A$2)</f>
        <v>0.81715599999999988</v>
      </c>
      <c r="J500" s="83">
        <f>_xlfn.IFNA(INDEX('Shultis Faw'!$D$2:$D$26,MATCH($C500,'Shultis Faw'!$A$2:$A$26,1))+($C500-INDEX('Shultis Faw'!$A$2:$A$26,MATCH($C500,'Shultis Faw'!$A$2:$A$26,1)))*(INDEX('Shultis Faw'!$D$2:$D$26,MATCH($C500,'Shultis Faw'!$A$2:$A$26,1)+1)-INDEX('Shultis Faw'!$D$2:$D$26,MATCH($C500,'Shultis Faw'!$A$2:$A$26,1)))/(INDEX('Shultis Faw'!$A$2:$A$26,MATCH($C500,'Shultis Faw'!$A$2:$A$26,1)+1)-INDEX('Shultis Faw'!$A$2:$A$26,MATCH($C500,'Shultis Faw'!$A$2:$A$26,1))),$C500*'Shultis Faw'!$D$2/'Shultis Faw'!$A$2)</f>
        <v>0.32008733333333333</v>
      </c>
      <c r="K500" s="83">
        <f>_xlfn.IFNA(INDEX('Shultis Faw'!$B$2:$B$26,MATCH($C500,'Shultis Faw'!$A$2:$A$26,1))+($C500-INDEX('Shultis Faw'!$A$2:$A$26,MATCH($C500,'Shultis Faw'!$A$2:$A$26,1)))*(INDEX('Shultis Faw'!$B$2:$B$26,MATCH($C500,'Shultis Faw'!$A$2:$A$26,1)+1)-INDEX('Shultis Faw'!$B$2:$B$26,MATCH($C500,'Shultis Faw'!$A$2:$A$26,1)))/(INDEX('Shultis Faw'!$A$2:$A$26,MATCH($C500,'Shultis Faw'!$A$2:$A$26,1)+1)-INDEX('Shultis Faw'!$A$2:$A$26,MATCH($C500,'Shultis Faw'!$A$2:$A$26,1))),$C500*'Shultis Faw'!$B$2/'Shultis Faw'!$A$2)</f>
        <v>0.11890933333333333</v>
      </c>
      <c r="L500" s="83">
        <f>_xlfn.IFNA(INDEX('Shultis Faw'!$E$2:$E$26,MATCH($C500,'Shultis Faw'!$A$2:$A$26,1))+($C500-INDEX('Shultis Faw'!$A$2:$A$26,MATCH($C500,'Shultis Faw'!$A$2:$A$26,1)))*(INDEX('Shultis Faw'!$E$2:$E$26,MATCH($C500,'Shultis Faw'!$A$2:$A$26,1)+1)-INDEX('Shultis Faw'!$E$2:$E$26,MATCH($C500,'Shultis Faw'!$A$2:$A$26,1)))/(INDEX('Shultis Faw'!$A$2:$A$26,MATCH($C500,'Shultis Faw'!$A$2:$A$26,1)+1)-INDEX('Shultis Faw'!$A$2:$A$26,MATCH($C500,'Shultis Faw'!$A$2:$A$26,1))),$C500*'Shultis Faw'!$E$2/'Shultis Faw'!$A$2)</f>
        <v>-6.2773066666666669E-2</v>
      </c>
      <c r="M500" s="83">
        <f>_xlfn.IFNA(INDEX('Shultis Faw'!$F$2:$F$26,MATCH($C500,'Shultis Faw'!$A$2:$A$26,1))+($C500-INDEX('Shultis Faw'!$A$2:$A$26,MATCH($C500,'Shultis Faw'!$A$2:$A$26,1)))*(INDEX('Shultis Faw'!$F$2:$F$26,MATCH($C500,'Shultis Faw'!$A$2:$A$26,1)+1)-INDEX('Shultis Faw'!$F$2:$F$26,MATCH($C500,'Shultis Faw'!$A$2:$A$26,1)))/(INDEX('Shultis Faw'!$A$2:$A$26,MATCH($C500,'Shultis Faw'!$A$2:$A$26,1)+1)-INDEX('Shultis Faw'!$A$2:$A$26,MATCH($C500,'Shultis Faw'!$A$2:$A$26,1))),$C500*'Shultis Faw'!$F$2/'Shultis Faw'!$A$2)</f>
        <v>9.8376733333333313</v>
      </c>
      <c r="N500" s="83">
        <f>J500*(H500*'Externe blootstelling'!$D$23/2)^K500+L500*(TANH(((H500*'Externe blootstelling'!$D$23)/(2*M500))-2)-TANH(-2))/(1-TANH(-2))</f>
        <v>0.47262458113888783</v>
      </c>
      <c r="O500" s="83">
        <f>IF(N500=1,1+(I500-1)*H500*'Externe blootstelling'!$D$23/2,1+(I500-1)*(N500^(H500*'Externe blootstelling'!$D$23/2)-1)/(N500-1))</f>
        <v>0.65329442089876144</v>
      </c>
      <c r="P500" s="67">
        <f>G500*EXP(-H500*'Externe blootstelling'!$D$23/2)*O500</f>
        <v>2.0640342471719769E-36</v>
      </c>
      <c r="Q500" s="68"/>
    </row>
    <row r="501" spans="1:17" x14ac:dyDescent="0.2">
      <c r="A501" s="217"/>
      <c r="B501" s="64" t="s">
        <v>102</v>
      </c>
      <c r="C501" s="66">
        <v>6.1487299999999995E-2</v>
      </c>
      <c r="D501" s="66">
        <f t="shared" si="37"/>
        <v>9.8379679999999988E-15</v>
      </c>
      <c r="E501" s="66">
        <v>1.3600000000000001E-2</v>
      </c>
      <c r="F501" s="66">
        <f>_xlfn.IFNA(INDEX('hp (pSv cm2)'!$B$2:$B$52,MATCH($C501,'hp (pSv cm2)'!$A$2:$A$52,1))+($C501-INDEX('hp (pSv cm2)'!$A$2:$A$52,MATCH($C501,'hp (pSv cm2)'!$A$2:$A$52,1)))*(INDEX('hp (pSv cm2)'!$B$2:$B$52,MATCH($C501,'hp (pSv cm2)'!$A$2:$A$52,1)+1)-INDEX('hp (pSv cm2)'!$B$2:$B$52,MATCH($C501,'hp (pSv cm2)'!$A$2:$A$52,1)))/(INDEX('hp (pSv cm2)'!$A$2:$A$52,MATCH($C501,'hp (pSv cm2)'!$A$2:$A$52,1)+1)-INDEX('hp (pSv cm2)'!$A$2:$A$52,MATCH($C501,'hp (pSv cm2)'!$A$2:$A$52,1))),$C501*'hp (pSv cm2)'!$B$2/'hp (pSv cm2)'!$A$2)</f>
        <v>0.39227205999999998</v>
      </c>
      <c r="G501" s="67">
        <f t="shared" si="38"/>
        <v>5.334900016E-3</v>
      </c>
      <c r="H501" s="83">
        <f>_xlfn.IFNA(0.997*(INDEX('Mass attenuation coefficients'!$B$2:$B$37,MATCH($C501,'Mass attenuation coefficients'!$A$2:$A$37,1))+($C501-INDEX('Mass attenuation coefficients'!$A$2:$A$37,MATCH($C501,'Mass attenuation coefficients'!$A$2:$A$37,1)))*(INDEX('Mass attenuation coefficients'!$B$2:$B$37,MATCH($C501,'Mass attenuation coefficients'!$A$2:$A$37,1)+1)-INDEX('Mass attenuation coefficients'!$B$2:$B$37,MATCH($C501,'Mass attenuation coefficients'!$A$2:$A$37,1)))/(INDEX('Mass attenuation coefficients'!$A$2:$A$37,MATCH($C501,'Mass attenuation coefficients'!$A$2:$A$37,1)+1)-INDEX('Mass attenuation coefficients'!$A$2:$A$37,MATCH($C501,'Mass attenuation coefficients'!$A$2:$A$37,1)))),0.997*$C501*'Mass attenuation coefficients'!$B$2/'Mass attenuation coefficients'!$A$2)</f>
        <v>0.20363634970899999</v>
      </c>
      <c r="I501" s="83">
        <f>_xlfn.IFNA(INDEX('Shultis Faw'!$C$2:$C$26,MATCH($C501,'Shultis Faw'!$A$2:$A$26,1))+($C501-INDEX('Shultis Faw'!$A$2:$A$26,MATCH($C501,'Shultis Faw'!$A$2:$A$26,1)))*(INDEX('Shultis Faw'!$C$2:$C$26,MATCH($C501,'Shultis Faw'!$A$2:$A$26,1)+1)-INDEX('Shultis Faw'!$C$2:$C$26,MATCH($C501,'Shultis Faw'!$A$2:$A$26,1)))/(INDEX('Shultis Faw'!$A$2:$A$26,MATCH($C501,'Shultis Faw'!$A$2:$A$26,1)+1)-INDEX('Shultis Faw'!$A$2:$A$26,MATCH($C501,'Shultis Faw'!$A$2:$A$26,1))),$C501*'Shultis Faw'!$C$2/'Shultis Faw'!$A$2)</f>
        <v>4.9886517399999999</v>
      </c>
      <c r="J501" s="83">
        <f>_xlfn.IFNA(INDEX('Shultis Faw'!$D$2:$D$26,MATCH($C501,'Shultis Faw'!$A$2:$A$26,1))+($C501-INDEX('Shultis Faw'!$A$2:$A$26,MATCH($C501,'Shultis Faw'!$A$2:$A$26,1)))*(INDEX('Shultis Faw'!$D$2:$D$26,MATCH($C501,'Shultis Faw'!$A$2:$A$26,1)+1)-INDEX('Shultis Faw'!$D$2:$D$26,MATCH($C501,'Shultis Faw'!$A$2:$A$26,1)))/(INDEX('Shultis Faw'!$A$2:$A$26,MATCH($C501,'Shultis Faw'!$A$2:$A$26,1)+1)-INDEX('Shultis Faw'!$A$2:$A$26,MATCH($C501,'Shultis Faw'!$A$2:$A$26,1))),$C501*'Shultis Faw'!$D$2/'Shultis Faw'!$A$2)</f>
        <v>1.754466085</v>
      </c>
      <c r="K501" s="83">
        <f>_xlfn.IFNA(INDEX('Shultis Faw'!$B$2:$B$26,MATCH($C501,'Shultis Faw'!$A$2:$A$26,1))+($C501-INDEX('Shultis Faw'!$A$2:$A$26,MATCH($C501,'Shultis Faw'!$A$2:$A$26,1)))*(INDEX('Shultis Faw'!$B$2:$B$26,MATCH($C501,'Shultis Faw'!$A$2:$A$26,1)+1)-INDEX('Shultis Faw'!$B$2:$B$26,MATCH($C501,'Shultis Faw'!$A$2:$A$26,1)))/(INDEX('Shultis Faw'!$A$2:$A$26,MATCH($C501,'Shultis Faw'!$A$2:$A$26,1)+1)-INDEX('Shultis Faw'!$A$2:$A$26,MATCH($C501,'Shultis Faw'!$A$2:$A$26,1))),$C501*'Shultis Faw'!$B$2/'Shultis Faw'!$A$2)</f>
        <v>-0.12912332999999998</v>
      </c>
      <c r="L501" s="83">
        <f>_xlfn.IFNA(INDEX('Shultis Faw'!$E$2:$E$26,MATCH($C501,'Shultis Faw'!$A$2:$A$26,1))+($C501-INDEX('Shultis Faw'!$A$2:$A$26,MATCH($C501,'Shultis Faw'!$A$2:$A$26,1)))*(INDEX('Shultis Faw'!$E$2:$E$26,MATCH($C501,'Shultis Faw'!$A$2:$A$26,1)+1)-INDEX('Shultis Faw'!$E$2:$E$26,MATCH($C501,'Shultis Faw'!$A$2:$A$26,1)))/(INDEX('Shultis Faw'!$A$2:$A$26,MATCH($C501,'Shultis Faw'!$A$2:$A$26,1)+1)-INDEX('Shultis Faw'!$A$2:$A$26,MATCH($C501,'Shultis Faw'!$A$2:$A$26,1))),$C501*'Shultis Faw'!$E$2/'Shultis Faw'!$A$2)</f>
        <v>5.7654228499999995E-2</v>
      </c>
      <c r="M501" s="83">
        <f>_xlfn.IFNA(INDEX('Shultis Faw'!$F$2:$F$26,MATCH($C501,'Shultis Faw'!$A$2:$A$26,1))+($C501-INDEX('Shultis Faw'!$A$2:$A$26,MATCH($C501,'Shultis Faw'!$A$2:$A$26,1)))*(INDEX('Shultis Faw'!$F$2:$F$26,MATCH($C501,'Shultis Faw'!$A$2:$A$26,1)+1)-INDEX('Shultis Faw'!$F$2:$F$26,MATCH($C501,'Shultis Faw'!$A$2:$A$26,1)))/(INDEX('Shultis Faw'!$A$2:$A$26,MATCH($C501,'Shultis Faw'!$A$2:$A$26,1)+1)-INDEX('Shultis Faw'!$A$2:$A$26,MATCH($C501,'Shultis Faw'!$A$2:$A$26,1))),$C501*'Shultis Faw'!$F$2/'Shultis Faw'!$A$2)</f>
        <v>13.64223095</v>
      </c>
      <c r="N501" s="83">
        <f>J501*(H501*'Externe blootstelling'!$D$23/2)^K501+L501*(TANH(((H501*'Externe blootstelling'!$D$23)/(2*M501))-2)-TANH(-2))/(1-TANH(-2))</f>
        <v>1.519472461903066</v>
      </c>
      <c r="O501" s="83">
        <f>IF(N501=1,1+(I501-1)*H501*'Externe blootstelling'!$D$23/2,1+(I501-1)*(N501^(H501*'Externe blootstelling'!$D$23/2)-1)/(N501-1))</f>
        <v>20.880035573954327</v>
      </c>
      <c r="P501" s="67">
        <f>G501*EXP(-H501*'Externe blootstelling'!$D$23/2)*O501</f>
        <v>5.2515242329211958E-3</v>
      </c>
      <c r="Q501" s="68"/>
    </row>
    <row r="502" spans="1:17" x14ac:dyDescent="0.2">
      <c r="A502" s="217"/>
      <c r="B502" s="64" t="s">
        <v>102</v>
      </c>
      <c r="C502" s="66">
        <v>6.3001100000000004E-2</v>
      </c>
      <c r="D502" s="66">
        <f t="shared" si="37"/>
        <v>1.0080176000000001E-14</v>
      </c>
      <c r="E502" s="66">
        <v>2.35E-2</v>
      </c>
      <c r="F502" s="66">
        <f>_xlfn.IFNA(INDEX('hp (pSv cm2)'!$B$2:$B$52,MATCH($C502,'hp (pSv cm2)'!$A$2:$A$52,1))+($C502-INDEX('hp (pSv cm2)'!$A$2:$A$52,MATCH($C502,'hp (pSv cm2)'!$A$2:$A$52,1)))*(INDEX('hp (pSv cm2)'!$B$2:$B$52,MATCH($C502,'hp (pSv cm2)'!$A$2:$A$52,1)+1)-INDEX('hp (pSv cm2)'!$B$2:$B$52,MATCH($C502,'hp (pSv cm2)'!$A$2:$A$52,1)))/(INDEX('hp (pSv cm2)'!$A$2:$A$52,MATCH($C502,'hp (pSv cm2)'!$A$2:$A$52,1)+1)-INDEX('hp (pSv cm2)'!$A$2:$A$52,MATCH($C502,'hp (pSv cm2)'!$A$2:$A$52,1))),$C502*'hp (pSv cm2)'!$B$2/'hp (pSv cm2)'!$A$2)</f>
        <v>0.39560242000000001</v>
      </c>
      <c r="G502" s="67">
        <f t="shared" si="38"/>
        <v>9.2966568699999995E-3</v>
      </c>
      <c r="H502" s="83">
        <f>_xlfn.IFNA(0.997*(INDEX('Mass attenuation coefficients'!$B$2:$B$37,MATCH($C502,'Mass attenuation coefficients'!$A$2:$A$37,1))+($C502-INDEX('Mass attenuation coefficients'!$A$2:$A$37,MATCH($C502,'Mass attenuation coefficients'!$A$2:$A$37,1)))*(INDEX('Mass attenuation coefficients'!$B$2:$B$37,MATCH($C502,'Mass attenuation coefficients'!$A$2:$A$37,1)+1)-INDEX('Mass attenuation coefficients'!$B$2:$B$37,MATCH($C502,'Mass attenuation coefficients'!$A$2:$A$37,1)))/(INDEX('Mass attenuation coefficients'!$A$2:$A$37,MATCH($C502,'Mass attenuation coefficients'!$A$2:$A$37,1)+1)-INDEX('Mass attenuation coefficients'!$A$2:$A$37,MATCH($C502,'Mass attenuation coefficients'!$A$2:$A$37,1)))),0.997*$C502*'Mass attenuation coefficients'!$B$2/'Mass attenuation coefficients'!$A$2)</f>
        <v>0.20196107266300001</v>
      </c>
      <c r="I502" s="83">
        <f>_xlfn.IFNA(INDEX('Shultis Faw'!$C$2:$C$26,MATCH($C502,'Shultis Faw'!$A$2:$A$26,1))+($C502-INDEX('Shultis Faw'!$A$2:$A$26,MATCH($C502,'Shultis Faw'!$A$2:$A$26,1)))*(INDEX('Shultis Faw'!$C$2:$C$26,MATCH($C502,'Shultis Faw'!$A$2:$A$26,1)+1)-INDEX('Shultis Faw'!$C$2:$C$26,MATCH($C502,'Shultis Faw'!$A$2:$A$26,1)))/(INDEX('Shultis Faw'!$A$2:$A$26,MATCH($C502,'Shultis Faw'!$A$2:$A$26,1)+1)-INDEX('Shultis Faw'!$A$2:$A$26,MATCH($C502,'Shultis Faw'!$A$2:$A$26,1))),$C502*'Shultis Faw'!$C$2/'Shultis Faw'!$A$2)</f>
        <v>4.9944041800000001</v>
      </c>
      <c r="J502" s="83">
        <f>_xlfn.IFNA(INDEX('Shultis Faw'!$D$2:$D$26,MATCH($C502,'Shultis Faw'!$A$2:$A$26,1))+($C502-INDEX('Shultis Faw'!$A$2:$A$26,MATCH($C502,'Shultis Faw'!$A$2:$A$26,1)))*(INDEX('Shultis Faw'!$D$2:$D$26,MATCH($C502,'Shultis Faw'!$A$2:$A$26,1)+1)-INDEX('Shultis Faw'!$D$2:$D$26,MATCH($C502,'Shultis Faw'!$A$2:$A$26,1)))/(INDEX('Shultis Faw'!$A$2:$A$26,MATCH($C502,'Shultis Faw'!$A$2:$A$26,1)+1)-INDEX('Shultis Faw'!$A$2:$A$26,MATCH($C502,'Shultis Faw'!$A$2:$A$26,1))),$C502*'Shultis Faw'!$D$2/'Shultis Faw'!$A$2)</f>
        <v>1.7793680950000001</v>
      </c>
      <c r="K502" s="83">
        <f>_xlfn.IFNA(INDEX('Shultis Faw'!$B$2:$B$26,MATCH($C502,'Shultis Faw'!$A$2:$A$26,1))+($C502-INDEX('Shultis Faw'!$A$2:$A$26,MATCH($C502,'Shultis Faw'!$A$2:$A$26,1)))*(INDEX('Shultis Faw'!$B$2:$B$26,MATCH($C502,'Shultis Faw'!$A$2:$A$26,1)+1)-INDEX('Shultis Faw'!$B$2:$B$26,MATCH($C502,'Shultis Faw'!$A$2:$A$26,1)))/(INDEX('Shultis Faw'!$A$2:$A$26,MATCH($C502,'Shultis Faw'!$A$2:$A$26,1)+1)-INDEX('Shultis Faw'!$A$2:$A$26,MATCH($C502,'Shultis Faw'!$A$2:$A$26,1))),$C502*'Shultis Faw'!$B$2/'Shultis Faw'!$A$2)</f>
        <v>-0.13230231000000001</v>
      </c>
      <c r="L502" s="83">
        <f>_xlfn.IFNA(INDEX('Shultis Faw'!$E$2:$E$26,MATCH($C502,'Shultis Faw'!$A$2:$A$26,1))+($C502-INDEX('Shultis Faw'!$A$2:$A$26,MATCH($C502,'Shultis Faw'!$A$2:$A$26,1)))*(INDEX('Shultis Faw'!$E$2:$E$26,MATCH($C502,'Shultis Faw'!$A$2:$A$26,1)+1)-INDEX('Shultis Faw'!$E$2:$E$26,MATCH($C502,'Shultis Faw'!$A$2:$A$26,1)))/(INDEX('Shultis Faw'!$A$2:$A$26,MATCH($C502,'Shultis Faw'!$A$2:$A$26,1)+1)-INDEX('Shultis Faw'!$A$2:$A$26,MATCH($C502,'Shultis Faw'!$A$2:$A$26,1))),$C502*'Shultis Faw'!$E$2/'Shultis Faw'!$A$2)</f>
        <v>5.9236149500000002E-2</v>
      </c>
      <c r="M502" s="83">
        <f>_xlfn.IFNA(INDEX('Shultis Faw'!$F$2:$F$26,MATCH($C502,'Shultis Faw'!$A$2:$A$26,1))+($C502-INDEX('Shultis Faw'!$A$2:$A$26,MATCH($C502,'Shultis Faw'!$A$2:$A$26,1)))*(INDEX('Shultis Faw'!$F$2:$F$26,MATCH($C502,'Shultis Faw'!$A$2:$A$26,1)+1)-INDEX('Shultis Faw'!$F$2:$F$26,MATCH($C502,'Shultis Faw'!$A$2:$A$26,1)))/(INDEX('Shultis Faw'!$A$2:$A$26,MATCH($C502,'Shultis Faw'!$A$2:$A$26,1)+1)-INDEX('Shultis Faw'!$A$2:$A$26,MATCH($C502,'Shultis Faw'!$A$2:$A$26,1))),$C502*'Shultis Faw'!$F$2/'Shultis Faw'!$A$2)</f>
        <v>13.64450165</v>
      </c>
      <c r="N502" s="83">
        <f>J502*(H502*'Externe blootstelling'!$D$23/2)^K502+L502*(TANH(((H502*'Externe blootstelling'!$D$23)/(2*M502))-2)-TANH(-2))/(1-TANH(-2))</f>
        <v>1.5372606770667412</v>
      </c>
      <c r="O502" s="83">
        <f>IF(N502=1,1+(I502-1)*H502*'Externe blootstelling'!$D$23/2,1+(I502-1)*(N502^(H502*'Externe blootstelling'!$D$23/2)-1)/(N502-1))</f>
        <v>20.918109216716246</v>
      </c>
      <c r="P502" s="67">
        <f>G502*EXP(-H502*'Externe blootstelling'!$D$23/2)*O502</f>
        <v>9.4013568325243477E-3</v>
      </c>
      <c r="Q502" s="68"/>
    </row>
    <row r="503" spans="1:17" x14ac:dyDescent="0.2">
      <c r="A503" s="217"/>
      <c r="B503" s="64" t="s">
        <v>102</v>
      </c>
      <c r="C503" s="66">
        <v>7.1448999999999999E-2</v>
      </c>
      <c r="D503" s="66">
        <f t="shared" si="37"/>
        <v>1.143184E-14</v>
      </c>
      <c r="E503" s="66">
        <v>7.9000000000000008E-3</v>
      </c>
      <c r="F503" s="66">
        <f>_xlfn.IFNA(INDEX('hp (pSv cm2)'!$B$2:$B$52,MATCH($C503,'hp (pSv cm2)'!$A$2:$A$52,1))+($C503-INDEX('hp (pSv cm2)'!$A$2:$A$52,MATCH($C503,'hp (pSv cm2)'!$A$2:$A$52,1)))*(INDEX('hp (pSv cm2)'!$B$2:$B$52,MATCH($C503,'hp (pSv cm2)'!$A$2:$A$52,1)+1)-INDEX('hp (pSv cm2)'!$B$2:$B$52,MATCH($C503,'hp (pSv cm2)'!$A$2:$A$52,1)))/(INDEX('hp (pSv cm2)'!$A$2:$A$52,MATCH($C503,'hp (pSv cm2)'!$A$2:$A$52,1)+1)-INDEX('hp (pSv cm2)'!$A$2:$A$52,MATCH($C503,'hp (pSv cm2)'!$A$2:$A$52,1))),$C503*'hp (pSv cm2)'!$B$2/'hp (pSv cm2)'!$A$2)</f>
        <v>0.41563679999999997</v>
      </c>
      <c r="G503" s="67">
        <f t="shared" si="38"/>
        <v>3.2835307199999999E-3</v>
      </c>
      <c r="H503" s="83">
        <f>_xlfn.IFNA(0.997*(INDEX('Mass attenuation coefficients'!$B$2:$B$37,MATCH($C503,'Mass attenuation coefficients'!$A$2:$A$37,1))+($C503-INDEX('Mass attenuation coefficients'!$A$2:$A$37,MATCH($C503,'Mass attenuation coefficients'!$A$2:$A$37,1)))*(INDEX('Mass attenuation coefficients'!$B$2:$B$37,MATCH($C503,'Mass attenuation coefficients'!$A$2:$A$37,1)+1)-INDEX('Mass attenuation coefficients'!$B$2:$B$37,MATCH($C503,'Mass attenuation coefficients'!$A$2:$A$37,1)))/(INDEX('Mass attenuation coefficients'!$A$2:$A$37,MATCH($C503,'Mass attenuation coefficients'!$A$2:$A$37,1)+1)-INDEX('Mass attenuation coefficients'!$A$2:$A$37,MATCH($C503,'Mass attenuation coefficients'!$A$2:$A$37,1)))),0.997*$C503*'Mass attenuation coefficients'!$B$2/'Mass attenuation coefficients'!$A$2)</f>
        <v>0.19261203517</v>
      </c>
      <c r="I503" s="83">
        <f>_xlfn.IFNA(INDEX('Shultis Faw'!$C$2:$C$26,MATCH($C503,'Shultis Faw'!$A$2:$A$26,1))+($C503-INDEX('Shultis Faw'!$A$2:$A$26,MATCH($C503,'Shultis Faw'!$A$2:$A$26,1)))*(INDEX('Shultis Faw'!$C$2:$C$26,MATCH($C503,'Shultis Faw'!$A$2:$A$26,1)+1)-INDEX('Shultis Faw'!$C$2:$C$26,MATCH($C503,'Shultis Faw'!$A$2:$A$26,1)))/(INDEX('Shultis Faw'!$A$2:$A$26,MATCH($C503,'Shultis Faw'!$A$2:$A$26,1)+1)-INDEX('Shultis Faw'!$A$2:$A$26,MATCH($C503,'Shultis Faw'!$A$2:$A$26,1))),$C503*'Shultis Faw'!$C$2/'Shultis Faw'!$A$2)</f>
        <v>5.0265062</v>
      </c>
      <c r="J503" s="83">
        <f>_xlfn.IFNA(INDEX('Shultis Faw'!$D$2:$D$26,MATCH($C503,'Shultis Faw'!$A$2:$A$26,1))+($C503-INDEX('Shultis Faw'!$A$2:$A$26,MATCH($C503,'Shultis Faw'!$A$2:$A$26,1)))*(INDEX('Shultis Faw'!$D$2:$D$26,MATCH($C503,'Shultis Faw'!$A$2:$A$26,1)+1)-INDEX('Shultis Faw'!$D$2:$D$26,MATCH($C503,'Shultis Faw'!$A$2:$A$26,1)))/(INDEX('Shultis Faw'!$A$2:$A$26,MATCH($C503,'Shultis Faw'!$A$2:$A$26,1)+1)-INDEX('Shultis Faw'!$A$2:$A$26,MATCH($C503,'Shultis Faw'!$A$2:$A$26,1))),$C503*'Shultis Faw'!$D$2/'Shultis Faw'!$A$2)</f>
        <v>1.9183360500000002</v>
      </c>
      <c r="K503" s="83">
        <f>_xlfn.IFNA(INDEX('Shultis Faw'!$B$2:$B$26,MATCH($C503,'Shultis Faw'!$A$2:$A$26,1))+($C503-INDEX('Shultis Faw'!$A$2:$A$26,MATCH($C503,'Shultis Faw'!$A$2:$A$26,1)))*(INDEX('Shultis Faw'!$B$2:$B$26,MATCH($C503,'Shultis Faw'!$A$2:$A$26,1)+1)-INDEX('Shultis Faw'!$B$2:$B$26,MATCH($C503,'Shultis Faw'!$A$2:$A$26,1)))/(INDEX('Shultis Faw'!$A$2:$A$26,MATCH($C503,'Shultis Faw'!$A$2:$A$26,1)+1)-INDEX('Shultis Faw'!$A$2:$A$26,MATCH($C503,'Shultis Faw'!$A$2:$A$26,1))),$C503*'Shultis Faw'!$B$2/'Shultis Faw'!$A$2)</f>
        <v>-0.15004290000000001</v>
      </c>
      <c r="L503" s="83">
        <f>_xlfn.IFNA(INDEX('Shultis Faw'!$E$2:$E$26,MATCH($C503,'Shultis Faw'!$A$2:$A$26,1))+($C503-INDEX('Shultis Faw'!$A$2:$A$26,MATCH($C503,'Shultis Faw'!$A$2:$A$26,1)))*(INDEX('Shultis Faw'!$E$2:$E$26,MATCH($C503,'Shultis Faw'!$A$2:$A$26,1)+1)-INDEX('Shultis Faw'!$E$2:$E$26,MATCH($C503,'Shultis Faw'!$A$2:$A$26,1)))/(INDEX('Shultis Faw'!$A$2:$A$26,MATCH($C503,'Shultis Faw'!$A$2:$A$26,1)+1)-INDEX('Shultis Faw'!$A$2:$A$26,MATCH($C503,'Shultis Faw'!$A$2:$A$26,1))),$C503*'Shultis Faw'!$E$2/'Shultis Faw'!$A$2)</f>
        <v>6.8064205000000003E-2</v>
      </c>
      <c r="M503" s="83">
        <f>_xlfn.IFNA(INDEX('Shultis Faw'!$F$2:$F$26,MATCH($C503,'Shultis Faw'!$A$2:$A$26,1))+($C503-INDEX('Shultis Faw'!$A$2:$A$26,MATCH($C503,'Shultis Faw'!$A$2:$A$26,1)))*(INDEX('Shultis Faw'!$F$2:$F$26,MATCH($C503,'Shultis Faw'!$A$2:$A$26,1)+1)-INDEX('Shultis Faw'!$F$2:$F$26,MATCH($C503,'Shultis Faw'!$A$2:$A$26,1)))/(INDEX('Shultis Faw'!$A$2:$A$26,MATCH($C503,'Shultis Faw'!$A$2:$A$26,1)+1)-INDEX('Shultis Faw'!$A$2:$A$26,MATCH($C503,'Shultis Faw'!$A$2:$A$26,1))),$C503*'Shultis Faw'!$F$2/'Shultis Faw'!$A$2)</f>
        <v>13.657173500000001</v>
      </c>
      <c r="N503" s="83">
        <f>J503*(H503*'Externe blootstelling'!$D$23/2)^K503+L503*(TANH(((H503*'Externe blootstelling'!$D$23)/(2*M503))-2)-TANH(-2))/(1-TANH(-2))</f>
        <v>1.6366591467041516</v>
      </c>
      <c r="O503" s="83">
        <f>IF(N503=1,1+(I503-1)*H503*'Externe blootstelling'!$D$23/2,1+(I503-1)*(N503^(H503*'Externe blootstelling'!$D$23/2)-1)/(N503-1))</f>
        <v>20.928959135888075</v>
      </c>
      <c r="P503" s="67">
        <f>G503*EXP(-H503*'Externe blootstelling'!$D$23/2)*O503</f>
        <v>3.8223773020081859E-3</v>
      </c>
      <c r="Q503" s="68"/>
    </row>
    <row r="504" spans="1:17" x14ac:dyDescent="0.2">
      <c r="A504" s="217"/>
      <c r="B504" s="64" t="s">
        <v>102</v>
      </c>
      <c r="C504" s="66">
        <v>7.3584300000000005E-2</v>
      </c>
      <c r="D504" s="66">
        <f t="shared" si="37"/>
        <v>1.1773488E-14</v>
      </c>
      <c r="E504" s="66">
        <v>2.2000000000000001E-3</v>
      </c>
      <c r="F504" s="66">
        <f>_xlfn.IFNA(INDEX('hp (pSv cm2)'!$B$2:$B$52,MATCH($C504,'hp (pSv cm2)'!$A$2:$A$52,1))+($C504-INDEX('hp (pSv cm2)'!$A$2:$A$52,MATCH($C504,'hp (pSv cm2)'!$A$2:$A$52,1)))*(INDEX('hp (pSv cm2)'!$B$2:$B$52,MATCH($C504,'hp (pSv cm2)'!$A$2:$A$52,1)+1)-INDEX('hp (pSv cm2)'!$B$2:$B$52,MATCH($C504,'hp (pSv cm2)'!$A$2:$A$52,1)))/(INDEX('hp (pSv cm2)'!$A$2:$A$52,MATCH($C504,'hp (pSv cm2)'!$A$2:$A$52,1)+1)-INDEX('hp (pSv cm2)'!$A$2:$A$52,MATCH($C504,'hp (pSv cm2)'!$A$2:$A$52,1))),$C504*'hp (pSv cm2)'!$B$2/'hp (pSv cm2)'!$A$2)</f>
        <v>0.42246975999999997</v>
      </c>
      <c r="G504" s="67">
        <f t="shared" si="38"/>
        <v>9.2943347199999997E-4</v>
      </c>
      <c r="H504" s="83">
        <f>_xlfn.IFNA(0.997*(INDEX('Mass attenuation coefficients'!$B$2:$B$37,MATCH($C504,'Mass attenuation coefficients'!$A$2:$A$37,1))+($C504-INDEX('Mass attenuation coefficients'!$A$2:$A$37,MATCH($C504,'Mass attenuation coefficients'!$A$2:$A$37,1)))*(INDEX('Mass attenuation coefficients'!$B$2:$B$37,MATCH($C504,'Mass attenuation coefficients'!$A$2:$A$37,1)+1)-INDEX('Mass attenuation coefficients'!$B$2:$B$37,MATCH($C504,'Mass attenuation coefficients'!$A$2:$A$37,1)))/(INDEX('Mass attenuation coefficients'!$A$2:$A$37,MATCH($C504,'Mass attenuation coefficients'!$A$2:$A$37,1)+1)-INDEX('Mass attenuation coefficients'!$A$2:$A$37,MATCH($C504,'Mass attenuation coefficients'!$A$2:$A$37,1)))),0.997*$C504*'Mass attenuation coefficients'!$B$2/'Mass attenuation coefficients'!$A$2)</f>
        <v>0.19024896271899999</v>
      </c>
      <c r="I504" s="83">
        <f>_xlfn.IFNA(INDEX('Shultis Faw'!$C$2:$C$26,MATCH($C504,'Shultis Faw'!$A$2:$A$26,1))+($C504-INDEX('Shultis Faw'!$A$2:$A$26,MATCH($C504,'Shultis Faw'!$A$2:$A$26,1)))*(INDEX('Shultis Faw'!$C$2:$C$26,MATCH($C504,'Shultis Faw'!$A$2:$A$26,1)+1)-INDEX('Shultis Faw'!$C$2:$C$26,MATCH($C504,'Shultis Faw'!$A$2:$A$26,1)))/(INDEX('Shultis Faw'!$A$2:$A$26,MATCH($C504,'Shultis Faw'!$A$2:$A$26,1)+1)-INDEX('Shultis Faw'!$A$2:$A$26,MATCH($C504,'Shultis Faw'!$A$2:$A$26,1))),$C504*'Shultis Faw'!$C$2/'Shultis Faw'!$A$2)</f>
        <v>5.03462034</v>
      </c>
      <c r="J504" s="83">
        <f>_xlfn.IFNA(INDEX('Shultis Faw'!$D$2:$D$26,MATCH($C504,'Shultis Faw'!$A$2:$A$26,1))+($C504-INDEX('Shultis Faw'!$A$2:$A$26,MATCH($C504,'Shultis Faw'!$A$2:$A$26,1)))*(INDEX('Shultis Faw'!$D$2:$D$26,MATCH($C504,'Shultis Faw'!$A$2:$A$26,1)+1)-INDEX('Shultis Faw'!$D$2:$D$26,MATCH($C504,'Shultis Faw'!$A$2:$A$26,1)))/(INDEX('Shultis Faw'!$A$2:$A$26,MATCH($C504,'Shultis Faw'!$A$2:$A$26,1)+1)-INDEX('Shultis Faw'!$A$2:$A$26,MATCH($C504,'Shultis Faw'!$A$2:$A$26,1))),$C504*'Shultis Faw'!$D$2/'Shultis Faw'!$A$2)</f>
        <v>1.9534617350000001</v>
      </c>
      <c r="K504" s="83">
        <f>_xlfn.IFNA(INDEX('Shultis Faw'!$B$2:$B$26,MATCH($C504,'Shultis Faw'!$A$2:$A$26,1))+($C504-INDEX('Shultis Faw'!$A$2:$A$26,MATCH($C504,'Shultis Faw'!$A$2:$A$26,1)))*(INDEX('Shultis Faw'!$B$2:$B$26,MATCH($C504,'Shultis Faw'!$A$2:$A$26,1)+1)-INDEX('Shultis Faw'!$B$2:$B$26,MATCH($C504,'Shultis Faw'!$A$2:$A$26,1)))/(INDEX('Shultis Faw'!$A$2:$A$26,MATCH($C504,'Shultis Faw'!$A$2:$A$26,1)+1)-INDEX('Shultis Faw'!$A$2:$A$26,MATCH($C504,'Shultis Faw'!$A$2:$A$26,1))),$C504*'Shultis Faw'!$B$2/'Shultis Faw'!$A$2)</f>
        <v>-0.15452703000000001</v>
      </c>
      <c r="L504" s="83">
        <f>_xlfn.IFNA(INDEX('Shultis Faw'!$E$2:$E$26,MATCH($C504,'Shultis Faw'!$A$2:$A$26,1))+($C504-INDEX('Shultis Faw'!$A$2:$A$26,MATCH($C504,'Shultis Faw'!$A$2:$A$26,1)))*(INDEX('Shultis Faw'!$E$2:$E$26,MATCH($C504,'Shultis Faw'!$A$2:$A$26,1)+1)-INDEX('Shultis Faw'!$E$2:$E$26,MATCH($C504,'Shultis Faw'!$A$2:$A$26,1)))/(INDEX('Shultis Faw'!$A$2:$A$26,MATCH($C504,'Shultis Faw'!$A$2:$A$26,1)+1)-INDEX('Shultis Faw'!$A$2:$A$26,MATCH($C504,'Shultis Faw'!$A$2:$A$26,1))),$C504*'Shultis Faw'!$E$2/'Shultis Faw'!$A$2)</f>
        <v>7.0295593500000003E-2</v>
      </c>
      <c r="M504" s="83">
        <f>_xlfn.IFNA(INDEX('Shultis Faw'!$F$2:$F$26,MATCH($C504,'Shultis Faw'!$A$2:$A$26,1))+($C504-INDEX('Shultis Faw'!$A$2:$A$26,MATCH($C504,'Shultis Faw'!$A$2:$A$26,1)))*(INDEX('Shultis Faw'!$F$2:$F$26,MATCH($C504,'Shultis Faw'!$A$2:$A$26,1)+1)-INDEX('Shultis Faw'!$F$2:$F$26,MATCH($C504,'Shultis Faw'!$A$2:$A$26,1)))/(INDEX('Shultis Faw'!$A$2:$A$26,MATCH($C504,'Shultis Faw'!$A$2:$A$26,1)+1)-INDEX('Shultis Faw'!$A$2:$A$26,MATCH($C504,'Shultis Faw'!$A$2:$A$26,1))),$C504*'Shultis Faw'!$F$2/'Shultis Faw'!$A$2)</f>
        <v>13.660376449999999</v>
      </c>
      <c r="N504" s="83">
        <f>J504*(H504*'Externe blootstelling'!$D$23/2)^K504+L504*(TANH(((H504*'Externe blootstelling'!$D$23)/(2*M504))-2)-TANH(-2))/(1-TANH(-2))</f>
        <v>1.6618851803271359</v>
      </c>
      <c r="O504" s="83">
        <f>IF(N504=1,1+(I504-1)*H504*'Externe blootstelling'!$D$23/2,1+(I504-1)*(N504^(H504*'Externe blootstelling'!$D$23/2)-1)/(N504-1))</f>
        <v>20.879420335330991</v>
      </c>
      <c r="P504" s="67">
        <f>G504*EXP(-H504*'Externe blootstelling'!$D$23/2)*O504</f>
        <v>1.1183445502997609E-3</v>
      </c>
      <c r="Q504" s="68"/>
    </row>
    <row r="505" spans="1:17" x14ac:dyDescent="0.2">
      <c r="A505" s="217"/>
      <c r="B505" s="64" t="s">
        <v>104</v>
      </c>
      <c r="C505" s="66">
        <v>0.155</v>
      </c>
      <c r="D505" s="66">
        <f t="shared" si="37"/>
        <v>2.4799999999999999E-14</v>
      </c>
      <c r="E505" s="66">
        <v>5.8999999999999998E-5</v>
      </c>
      <c r="F505" s="66">
        <f>_xlfn.IFNA(INDEX('hp (pSv cm2)'!$B$2:$B$52,MATCH($C505,'hp (pSv cm2)'!$A$2:$A$52,1))+($C505-INDEX('hp (pSv cm2)'!$A$2:$A$52,MATCH($C505,'hp (pSv cm2)'!$A$2:$A$52,1)))*(INDEX('hp (pSv cm2)'!$B$2:$B$52,MATCH($C505,'hp (pSv cm2)'!$A$2:$A$52,1)+1)-INDEX('hp (pSv cm2)'!$B$2:$B$52,MATCH($C505,'hp (pSv cm2)'!$A$2:$A$52,1)))/(INDEX('hp (pSv cm2)'!$A$2:$A$52,MATCH($C505,'hp (pSv cm2)'!$A$2:$A$52,1)+1)-INDEX('hp (pSv cm2)'!$A$2:$A$52,MATCH($C505,'hp (pSv cm2)'!$A$2:$A$52,1))),$C505*'hp (pSv cm2)'!$B$2/'hp (pSv cm2)'!$A$2)</f>
        <v>0.77229999999999999</v>
      </c>
      <c r="G505" s="67">
        <f t="shared" si="38"/>
        <v>4.5565699999999996E-5</v>
      </c>
      <c r="H505" s="83">
        <f>_xlfn.IFNA(0.997*(INDEX('Mass attenuation coefficients'!$B$2:$B$37,MATCH($C505,'Mass attenuation coefficients'!$A$2:$A$37,1))+($C505-INDEX('Mass attenuation coefficients'!$A$2:$A$37,MATCH($C505,'Mass attenuation coefficients'!$A$2:$A$37,1)))*(INDEX('Mass attenuation coefficients'!$B$2:$B$37,MATCH($C505,'Mass attenuation coefficients'!$A$2:$A$37,1)+1)-INDEX('Mass attenuation coefficients'!$B$2:$B$37,MATCH($C505,'Mass attenuation coefficients'!$A$2:$A$37,1)))/(INDEX('Mass attenuation coefficients'!$A$2:$A$37,MATCH($C505,'Mass attenuation coefficients'!$A$2:$A$37,1)+1)-INDEX('Mass attenuation coefficients'!$A$2:$A$37,MATCH($C505,'Mass attenuation coefficients'!$A$2:$A$37,1)))),0.997*$C505*'Mass attenuation coefficients'!$B$2/'Mass attenuation coefficients'!$A$2)</f>
        <v>0.14870255000000002</v>
      </c>
      <c r="I505" s="83">
        <f>_xlfn.IFNA(INDEX('Shultis Faw'!$C$2:$C$26,MATCH($C505,'Shultis Faw'!$A$2:$A$26,1))+($C505-INDEX('Shultis Faw'!$A$2:$A$26,MATCH($C505,'Shultis Faw'!$A$2:$A$26,1)))*(INDEX('Shultis Faw'!$C$2:$C$26,MATCH($C505,'Shultis Faw'!$A$2:$A$26,1)+1)-INDEX('Shultis Faw'!$C$2:$C$26,MATCH($C505,'Shultis Faw'!$A$2:$A$26,1)))/(INDEX('Shultis Faw'!$A$2:$A$26,MATCH($C505,'Shultis Faw'!$A$2:$A$26,1)+1)-INDEX('Shultis Faw'!$A$2:$A$26,MATCH($C505,'Shultis Faw'!$A$2:$A$26,1))),$C505*'Shultis Faw'!$C$2/'Shultis Faw'!$A$2)</f>
        <v>3.8550999999999997</v>
      </c>
      <c r="J505" s="83">
        <f>_xlfn.IFNA(INDEX('Shultis Faw'!$D$2:$D$26,MATCH($C505,'Shultis Faw'!$A$2:$A$26,1))+($C505-INDEX('Shultis Faw'!$A$2:$A$26,MATCH($C505,'Shultis Faw'!$A$2:$A$26,1)))*(INDEX('Shultis Faw'!$D$2:$D$26,MATCH($C505,'Shultis Faw'!$A$2:$A$26,1)+1)-INDEX('Shultis Faw'!$D$2:$D$26,MATCH($C505,'Shultis Faw'!$A$2:$A$26,1)))/(INDEX('Shultis Faw'!$A$2:$A$26,MATCH($C505,'Shultis Faw'!$A$2:$A$26,1)+1)-INDEX('Shultis Faw'!$A$2:$A$26,MATCH($C505,'Shultis Faw'!$A$2:$A$26,1))),$C505*'Shultis Faw'!$D$2/'Shultis Faw'!$A$2)</f>
        <v>2.2332000000000001</v>
      </c>
      <c r="K505" s="83">
        <f>_xlfn.IFNA(INDEX('Shultis Faw'!$B$2:$B$26,MATCH($C505,'Shultis Faw'!$A$2:$A$26,1))+($C505-INDEX('Shultis Faw'!$A$2:$A$26,MATCH($C505,'Shultis Faw'!$A$2:$A$26,1)))*(INDEX('Shultis Faw'!$B$2:$B$26,MATCH($C505,'Shultis Faw'!$A$2:$A$26,1)+1)-INDEX('Shultis Faw'!$B$2:$B$26,MATCH($C505,'Shultis Faw'!$A$2:$A$26,1)))/(INDEX('Shultis Faw'!$A$2:$A$26,MATCH($C505,'Shultis Faw'!$A$2:$A$26,1)+1)-INDEX('Shultis Faw'!$A$2:$A$26,MATCH($C505,'Shultis Faw'!$A$2:$A$26,1))),$C505*'Shultis Faw'!$B$2/'Shultis Faw'!$A$2)</f>
        <v>-0.18409999999999999</v>
      </c>
      <c r="L505" s="83">
        <f>_xlfn.IFNA(INDEX('Shultis Faw'!$E$2:$E$26,MATCH($C505,'Shultis Faw'!$A$2:$A$26,1))+($C505-INDEX('Shultis Faw'!$A$2:$A$26,MATCH($C505,'Shultis Faw'!$A$2:$A$26,1)))*(INDEX('Shultis Faw'!$E$2:$E$26,MATCH($C505,'Shultis Faw'!$A$2:$A$26,1)+1)-INDEX('Shultis Faw'!$E$2:$E$26,MATCH($C505,'Shultis Faw'!$A$2:$A$26,1)))/(INDEX('Shultis Faw'!$A$2:$A$26,MATCH($C505,'Shultis Faw'!$A$2:$A$26,1)+1)-INDEX('Shultis Faw'!$A$2:$A$26,MATCH($C505,'Shultis Faw'!$A$2:$A$26,1))),$C505*'Shultis Faw'!$E$2/'Shultis Faw'!$A$2)</f>
        <v>7.7670000000000003E-2</v>
      </c>
      <c r="M505" s="83">
        <f>_xlfn.IFNA(INDEX('Shultis Faw'!$F$2:$F$26,MATCH($C505,'Shultis Faw'!$A$2:$A$26,1))+($C505-INDEX('Shultis Faw'!$A$2:$A$26,MATCH($C505,'Shultis Faw'!$A$2:$A$26,1)))*(INDEX('Shultis Faw'!$F$2:$F$26,MATCH($C505,'Shultis Faw'!$A$2:$A$26,1)+1)-INDEX('Shultis Faw'!$F$2:$F$26,MATCH($C505,'Shultis Faw'!$A$2:$A$26,1)))/(INDEX('Shultis Faw'!$A$2:$A$26,MATCH($C505,'Shultis Faw'!$A$2:$A$26,1)+1)-INDEX('Shultis Faw'!$A$2:$A$26,MATCH($C505,'Shultis Faw'!$A$2:$A$26,1))),$C505*'Shultis Faw'!$F$2/'Shultis Faw'!$A$2)</f>
        <v>14.221</v>
      </c>
      <c r="N505" s="83">
        <f>J505*(H505*'Externe blootstelling'!$D$23/2)^K505+L505*(TANH(((H505*'Externe blootstelling'!$D$23)/(2*M505))-2)-TANH(-2))/(1-TANH(-2))</f>
        <v>1.9270840478668456</v>
      </c>
      <c r="O505" s="83">
        <f>IF(N505=1,1+(I505-1)*H505*'Externe blootstelling'!$D$23/2,1+(I505-1)*(N505^(H505*'Externe blootstelling'!$D$23/2)-1)/(N505-1))</f>
        <v>11.224398812260659</v>
      </c>
      <c r="P505" s="67">
        <f>G505*EXP(-H505*'Externe blootstelling'!$D$23/2)*O505</f>
        <v>5.4965563159667113E-5</v>
      </c>
      <c r="Q505" s="68"/>
    </row>
    <row r="506" spans="1:17" x14ac:dyDescent="0.2">
      <c r="A506" s="217"/>
      <c r="B506" s="64" t="s">
        <v>104</v>
      </c>
      <c r="C506" s="66">
        <v>0.15504099999999998</v>
      </c>
      <c r="D506" s="66">
        <f t="shared" si="37"/>
        <v>2.4806559999999995E-14</v>
      </c>
      <c r="E506" s="66">
        <v>0.152</v>
      </c>
      <c r="F506" s="66">
        <f>_xlfn.IFNA(INDEX('hp (pSv cm2)'!$B$2:$B$52,MATCH($C506,'hp (pSv cm2)'!$A$2:$A$52,1))+($C506-INDEX('hp (pSv cm2)'!$A$2:$A$52,MATCH($C506,'hp (pSv cm2)'!$A$2:$A$52,1)))*(INDEX('hp (pSv cm2)'!$B$2:$B$52,MATCH($C506,'hp (pSv cm2)'!$A$2:$A$52,1)+1)-INDEX('hp (pSv cm2)'!$B$2:$B$52,MATCH($C506,'hp (pSv cm2)'!$A$2:$A$52,1)))/(INDEX('hp (pSv cm2)'!$A$2:$A$52,MATCH($C506,'hp (pSv cm2)'!$A$2:$A$52,1)+1)-INDEX('hp (pSv cm2)'!$A$2:$A$52,MATCH($C506,'hp (pSv cm2)'!$A$2:$A$52,1))),$C506*'hp (pSv cm2)'!$B$2/'hp (pSv cm2)'!$A$2)</f>
        <v>0.77250745999999992</v>
      </c>
      <c r="G506" s="67">
        <f t="shared" si="38"/>
        <v>0.11742113391999999</v>
      </c>
      <c r="H506" s="83">
        <f>_xlfn.IFNA(0.997*(INDEX('Mass attenuation coefficients'!$B$2:$B$37,MATCH($C506,'Mass attenuation coefficients'!$A$2:$A$37,1))+($C506-INDEX('Mass attenuation coefficients'!$A$2:$A$37,MATCH($C506,'Mass attenuation coefficients'!$A$2:$A$37,1)))*(INDEX('Mass attenuation coefficients'!$B$2:$B$37,MATCH($C506,'Mass attenuation coefficients'!$A$2:$A$37,1)+1)-INDEX('Mass attenuation coefficients'!$B$2:$B$37,MATCH($C506,'Mass attenuation coefficients'!$A$2:$A$37,1)))/(INDEX('Mass attenuation coefficients'!$A$2:$A$37,MATCH($C506,'Mass attenuation coefficients'!$A$2:$A$37,1)+1)-INDEX('Mass attenuation coefficients'!$A$2:$A$37,MATCH($C506,'Mass attenuation coefficients'!$A$2:$A$37,1)))),0.997*$C506*'Mass attenuation coefficients'!$B$2/'Mass attenuation coefficients'!$A$2)</f>
        <v>0.14869151321000001</v>
      </c>
      <c r="I506" s="83">
        <f>_xlfn.IFNA(INDEX('Shultis Faw'!$C$2:$C$26,MATCH($C506,'Shultis Faw'!$A$2:$A$26,1))+($C506-INDEX('Shultis Faw'!$A$2:$A$26,MATCH($C506,'Shultis Faw'!$A$2:$A$26,1)))*(INDEX('Shultis Faw'!$C$2:$C$26,MATCH($C506,'Shultis Faw'!$A$2:$A$26,1)+1)-INDEX('Shultis Faw'!$C$2:$C$26,MATCH($C506,'Shultis Faw'!$A$2:$A$26,1)))/(INDEX('Shultis Faw'!$A$2:$A$26,MATCH($C506,'Shultis Faw'!$A$2:$A$26,1)+1)-INDEX('Shultis Faw'!$A$2:$A$26,MATCH($C506,'Shultis Faw'!$A$2:$A$26,1))),$C506*'Shultis Faw'!$C$2/'Shultis Faw'!$A$2)</f>
        <v>3.8547564199999997</v>
      </c>
      <c r="J506" s="83">
        <f>_xlfn.IFNA(INDEX('Shultis Faw'!$D$2:$D$26,MATCH($C506,'Shultis Faw'!$A$2:$A$26,1))+($C506-INDEX('Shultis Faw'!$A$2:$A$26,MATCH($C506,'Shultis Faw'!$A$2:$A$26,1)))*(INDEX('Shultis Faw'!$D$2:$D$26,MATCH($C506,'Shultis Faw'!$A$2:$A$26,1)+1)-INDEX('Shultis Faw'!$D$2:$D$26,MATCH($C506,'Shultis Faw'!$A$2:$A$26,1)))/(INDEX('Shultis Faw'!$A$2:$A$26,MATCH($C506,'Shultis Faw'!$A$2:$A$26,1)+1)-INDEX('Shultis Faw'!$A$2:$A$26,MATCH($C506,'Shultis Faw'!$A$2:$A$26,1))),$C506*'Shultis Faw'!$D$2/'Shultis Faw'!$A$2)</f>
        <v>2.2331278399999999</v>
      </c>
      <c r="K506" s="83">
        <f>_xlfn.IFNA(INDEX('Shultis Faw'!$B$2:$B$26,MATCH($C506,'Shultis Faw'!$A$2:$A$26,1))+($C506-INDEX('Shultis Faw'!$A$2:$A$26,MATCH($C506,'Shultis Faw'!$A$2:$A$26,1)))*(INDEX('Shultis Faw'!$B$2:$B$26,MATCH($C506,'Shultis Faw'!$A$2:$A$26,1)+1)-INDEX('Shultis Faw'!$B$2:$B$26,MATCH($C506,'Shultis Faw'!$A$2:$A$26,1)))/(INDEX('Shultis Faw'!$A$2:$A$26,MATCH($C506,'Shultis Faw'!$A$2:$A$26,1)+1)-INDEX('Shultis Faw'!$A$2:$A$26,MATCH($C506,'Shultis Faw'!$A$2:$A$26,1))),$C506*'Shultis Faw'!$B$2/'Shultis Faw'!$A$2)</f>
        <v>-0.18409262000000001</v>
      </c>
      <c r="L506" s="83">
        <f>_xlfn.IFNA(INDEX('Shultis Faw'!$E$2:$E$26,MATCH($C506,'Shultis Faw'!$A$2:$A$26,1))+($C506-INDEX('Shultis Faw'!$A$2:$A$26,MATCH($C506,'Shultis Faw'!$A$2:$A$26,1)))*(INDEX('Shultis Faw'!$E$2:$E$26,MATCH($C506,'Shultis Faw'!$A$2:$A$26,1)+1)-INDEX('Shultis Faw'!$E$2:$E$26,MATCH($C506,'Shultis Faw'!$A$2:$A$26,1)))/(INDEX('Shultis Faw'!$A$2:$A$26,MATCH($C506,'Shultis Faw'!$A$2:$A$26,1)+1)-INDEX('Shultis Faw'!$A$2:$A$26,MATCH($C506,'Shultis Faw'!$A$2:$A$26,1))),$C506*'Shultis Faw'!$E$2/'Shultis Faw'!$A$2)</f>
        <v>7.7669754000000008E-2</v>
      </c>
      <c r="M506" s="83">
        <f>_xlfn.IFNA(INDEX('Shultis Faw'!$F$2:$F$26,MATCH($C506,'Shultis Faw'!$A$2:$A$26,1))+($C506-INDEX('Shultis Faw'!$A$2:$A$26,MATCH($C506,'Shultis Faw'!$A$2:$A$26,1)))*(INDEX('Shultis Faw'!$F$2:$F$26,MATCH($C506,'Shultis Faw'!$A$2:$A$26,1)+1)-INDEX('Shultis Faw'!$F$2:$F$26,MATCH($C506,'Shultis Faw'!$A$2:$A$26,1)))/(INDEX('Shultis Faw'!$A$2:$A$26,MATCH($C506,'Shultis Faw'!$A$2:$A$26,1)+1)-INDEX('Shultis Faw'!$A$2:$A$26,MATCH($C506,'Shultis Faw'!$A$2:$A$26,1))),$C506*'Shultis Faw'!$F$2/'Shultis Faw'!$A$2)</f>
        <v>14.221254199999999</v>
      </c>
      <c r="N506" s="83">
        <f>J506*(H506*'Externe blootstelling'!$D$23/2)^K506+L506*(TANH(((H506*'Externe blootstelling'!$D$23)/(2*M506))-2)-TANH(-2))/(1-TANH(-2))</f>
        <v>1.927059469755471</v>
      </c>
      <c r="O506" s="83">
        <f>IF(N506=1,1+(I506-1)*H506*'Externe blootstelling'!$D$23/2,1+(I506-1)*(N506^(H506*'Externe blootstelling'!$D$23/2)-1)/(N506-1))</f>
        <v>11.221616431666565</v>
      </c>
      <c r="P506" s="67">
        <f>G506*EXP(-H506*'Externe blootstelling'!$D$23/2)*O506</f>
        <v>0.14163256959974249</v>
      </c>
      <c r="Q506" s="68"/>
    </row>
    <row r="507" spans="1:17" x14ac:dyDescent="0.2">
      <c r="A507" s="217"/>
      <c r="B507" s="64" t="s">
        <v>104</v>
      </c>
      <c r="C507" s="66">
        <v>0.31200099999999997</v>
      </c>
      <c r="D507" s="66">
        <f t="shared" si="37"/>
        <v>4.992016E-14</v>
      </c>
      <c r="E507" s="66">
        <v>4.2999999999999999E-4</v>
      </c>
      <c r="F507" s="66">
        <f>_xlfn.IFNA(INDEX('hp (pSv cm2)'!$B$2:$B$52,MATCH($C507,'hp (pSv cm2)'!$A$2:$A$52,1))+($C507-INDEX('hp (pSv cm2)'!$A$2:$A$52,MATCH($C507,'hp (pSv cm2)'!$A$2:$A$52,1)))*(INDEX('hp (pSv cm2)'!$B$2:$B$52,MATCH($C507,'hp (pSv cm2)'!$A$2:$A$52,1)+1)-INDEX('hp (pSv cm2)'!$B$2:$B$52,MATCH($C507,'hp (pSv cm2)'!$A$2:$A$52,1)))/(INDEX('hp (pSv cm2)'!$A$2:$A$52,MATCH($C507,'hp (pSv cm2)'!$A$2:$A$52,1)+1)-INDEX('hp (pSv cm2)'!$A$2:$A$52,MATCH($C507,'hp (pSv cm2)'!$A$2:$A$52,1))),$C507*'hp (pSv cm2)'!$B$2/'hp (pSv cm2)'!$A$2)</f>
        <v>1.5688048999999999</v>
      </c>
      <c r="G507" s="67">
        <f t="shared" si="38"/>
        <v>6.7458610699999992E-4</v>
      </c>
      <c r="H507" s="83">
        <f>_xlfn.IFNA(0.997*(INDEX('Mass attenuation coefficients'!$B$2:$B$37,MATCH($C507,'Mass attenuation coefficients'!$A$2:$A$37,1))+($C507-INDEX('Mass attenuation coefficients'!$A$2:$A$37,MATCH($C507,'Mass attenuation coefficients'!$A$2:$A$37,1)))*(INDEX('Mass attenuation coefficients'!$B$2:$B$37,MATCH($C507,'Mass attenuation coefficients'!$A$2:$A$37,1)+1)-INDEX('Mass attenuation coefficients'!$B$2:$B$37,MATCH($C507,'Mass attenuation coefficients'!$A$2:$A$37,1)))/(INDEX('Mass attenuation coefficients'!$A$2:$A$37,MATCH($C507,'Mass attenuation coefficients'!$A$2:$A$37,1)+1)-INDEX('Mass attenuation coefficients'!$A$2:$A$37,MATCH($C507,'Mass attenuation coefficients'!$A$2:$A$37,1)))),0.997*$C507*'Mass attenuation coefficients'!$B$2/'Mass attenuation coefficients'!$A$2)</f>
        <v>0.11674857537500001</v>
      </c>
      <c r="I507" s="83">
        <f>_xlfn.IFNA(INDEX('Shultis Faw'!$C$2:$C$26,MATCH($C507,'Shultis Faw'!$A$2:$A$26,1))+($C507-INDEX('Shultis Faw'!$A$2:$A$26,MATCH($C507,'Shultis Faw'!$A$2:$A$26,1)))*(INDEX('Shultis Faw'!$C$2:$C$26,MATCH($C507,'Shultis Faw'!$A$2:$A$26,1)+1)-INDEX('Shultis Faw'!$C$2:$C$26,MATCH($C507,'Shultis Faw'!$A$2:$A$26,1)))/(INDEX('Shultis Faw'!$A$2:$A$26,MATCH($C507,'Shultis Faw'!$A$2:$A$26,1)+1)-INDEX('Shultis Faw'!$A$2:$A$26,MATCH($C507,'Shultis Faw'!$A$2:$A$26,1))),$C507*'Shultis Faw'!$C$2/'Shultis Faw'!$A$2)</f>
        <v>2.8887974000000001</v>
      </c>
      <c r="J507" s="83">
        <f>_xlfn.IFNA(INDEX('Shultis Faw'!$D$2:$D$26,MATCH($C507,'Shultis Faw'!$A$2:$A$26,1))+($C507-INDEX('Shultis Faw'!$A$2:$A$26,MATCH($C507,'Shultis Faw'!$A$2:$A$26,1)))*(INDEX('Shultis Faw'!$D$2:$D$26,MATCH($C507,'Shultis Faw'!$A$2:$A$26,1)+1)-INDEX('Shultis Faw'!$D$2:$D$26,MATCH($C507,'Shultis Faw'!$A$2:$A$26,1)))/(INDEX('Shultis Faw'!$A$2:$A$26,MATCH($C507,'Shultis Faw'!$A$2:$A$26,1)+1)-INDEX('Shultis Faw'!$A$2:$A$26,MATCH($C507,'Shultis Faw'!$A$2:$A$26,1))),$C507*'Shultis Faw'!$D$2/'Shultis Faw'!$A$2)</f>
        <v>2.0051985999999999</v>
      </c>
      <c r="K507" s="83">
        <f>_xlfn.IFNA(INDEX('Shultis Faw'!$B$2:$B$26,MATCH($C507,'Shultis Faw'!$A$2:$A$26,1))+($C507-INDEX('Shultis Faw'!$A$2:$A$26,MATCH($C507,'Shultis Faw'!$A$2:$A$26,1)))*(INDEX('Shultis Faw'!$B$2:$B$26,MATCH($C507,'Shultis Faw'!$A$2:$A$26,1)+1)-INDEX('Shultis Faw'!$B$2:$B$26,MATCH($C507,'Shultis Faw'!$A$2:$A$26,1)))/(INDEX('Shultis Faw'!$A$2:$A$26,MATCH($C507,'Shultis Faw'!$A$2:$A$26,1)+1)-INDEX('Shultis Faw'!$A$2:$A$26,MATCH($C507,'Shultis Faw'!$A$2:$A$26,1))),$C507*'Shultis Faw'!$B$2/'Shultis Faw'!$A$2)</f>
        <v>-0.16219985000000001</v>
      </c>
      <c r="L507" s="83">
        <f>_xlfn.IFNA(INDEX('Shultis Faw'!$E$2:$E$26,MATCH($C507,'Shultis Faw'!$A$2:$A$26,1))+($C507-INDEX('Shultis Faw'!$A$2:$A$26,MATCH($C507,'Shultis Faw'!$A$2:$A$26,1)))*(INDEX('Shultis Faw'!$E$2:$E$26,MATCH($C507,'Shultis Faw'!$A$2:$A$26,1)+1)-INDEX('Shultis Faw'!$E$2:$E$26,MATCH($C507,'Shultis Faw'!$A$2:$A$26,1)))/(INDEX('Shultis Faw'!$A$2:$A$26,MATCH($C507,'Shultis Faw'!$A$2:$A$26,1)+1)-INDEX('Shultis Faw'!$A$2:$A$26,MATCH($C507,'Shultis Faw'!$A$2:$A$26,1))),$C507*'Shultis Faw'!$E$2/'Shultis Faw'!$A$2)</f>
        <v>6.4779940000000008E-2</v>
      </c>
      <c r="M507" s="83">
        <f>_xlfn.IFNA(INDEX('Shultis Faw'!$F$2:$F$26,MATCH($C507,'Shultis Faw'!$A$2:$A$26,1))+($C507-INDEX('Shultis Faw'!$A$2:$A$26,MATCH($C507,'Shultis Faw'!$A$2:$A$26,1)))*(INDEX('Shultis Faw'!$F$2:$F$26,MATCH($C507,'Shultis Faw'!$A$2:$A$26,1)+1)-INDEX('Shultis Faw'!$F$2:$F$26,MATCH($C507,'Shultis Faw'!$A$2:$A$26,1)))/(INDEX('Shultis Faw'!$A$2:$A$26,MATCH($C507,'Shultis Faw'!$A$2:$A$26,1)+1)-INDEX('Shultis Faw'!$A$2:$A$26,MATCH($C507,'Shultis Faw'!$A$2:$A$26,1))),$C507*'Shultis Faw'!$F$2/'Shultis Faw'!$A$2)</f>
        <v>14.213600300000001</v>
      </c>
      <c r="N507" s="83">
        <f>J507*(H507*'Externe blootstelling'!$D$23/2)^K507+L507*(TANH(((H507*'Externe blootstelling'!$D$23)/(2*M507))-2)-TANH(-2))/(1-TANH(-2))</f>
        <v>1.8313192066380717</v>
      </c>
      <c r="O507" s="83">
        <f>IF(N507=1,1+(I507-1)*H507*'Externe blootstelling'!$D$23/2,1+(I507-1)*(N507^(H507*'Externe blootstelling'!$D$23/2)-1)/(N507-1))</f>
        <v>5.2830240413495648</v>
      </c>
      <c r="P507" s="67">
        <f>G507*EXP(-H507*'Externe blootstelling'!$D$23/2)*O507</f>
        <v>6.1854464147966361E-4</v>
      </c>
      <c r="Q507" s="68"/>
    </row>
    <row r="508" spans="1:17" x14ac:dyDescent="0.2">
      <c r="A508" s="217"/>
      <c r="B508" s="64" t="s">
        <v>104</v>
      </c>
      <c r="C508" s="66">
        <v>0.32292999999999999</v>
      </c>
      <c r="D508" s="66">
        <f t="shared" si="37"/>
        <v>5.1668799999999997E-14</v>
      </c>
      <c r="E508" s="66">
        <v>1.6199999999999998E-4</v>
      </c>
      <c r="F508" s="66">
        <f>_xlfn.IFNA(INDEX('hp (pSv cm2)'!$B$2:$B$52,MATCH($C508,'hp (pSv cm2)'!$A$2:$A$52,1))+($C508-INDEX('hp (pSv cm2)'!$A$2:$A$52,MATCH($C508,'hp (pSv cm2)'!$A$2:$A$52,1)))*(INDEX('hp (pSv cm2)'!$B$2:$B$52,MATCH($C508,'hp (pSv cm2)'!$A$2:$A$52,1)+1)-INDEX('hp (pSv cm2)'!$B$2:$B$52,MATCH($C508,'hp (pSv cm2)'!$A$2:$A$52,1)))/(INDEX('hp (pSv cm2)'!$A$2:$A$52,MATCH($C508,'hp (pSv cm2)'!$A$2:$A$52,1)+1)-INDEX('hp (pSv cm2)'!$A$2:$A$52,MATCH($C508,'hp (pSv cm2)'!$A$2:$A$52,1))),$C508*'hp (pSv cm2)'!$B$2/'hp (pSv cm2)'!$A$2)</f>
        <v>1.622357</v>
      </c>
      <c r="G508" s="67">
        <f t="shared" si="38"/>
        <v>2.6282183399999997E-4</v>
      </c>
      <c r="H508" s="83">
        <f>_xlfn.IFNA(0.997*(INDEX('Mass attenuation coefficients'!$B$2:$B$37,MATCH($C508,'Mass attenuation coefficients'!$A$2:$A$37,1))+($C508-INDEX('Mass attenuation coefficients'!$A$2:$A$37,MATCH($C508,'Mass attenuation coefficients'!$A$2:$A$37,1)))*(INDEX('Mass attenuation coefficients'!$B$2:$B$37,MATCH($C508,'Mass attenuation coefficients'!$A$2:$A$37,1)+1)-INDEX('Mass attenuation coefficients'!$B$2:$B$37,MATCH($C508,'Mass attenuation coefficients'!$A$2:$A$37,1)))/(INDEX('Mass attenuation coefficients'!$A$2:$A$37,MATCH($C508,'Mass attenuation coefficients'!$A$2:$A$37,1)+1)-INDEX('Mass attenuation coefficients'!$A$2:$A$37,MATCH($C508,'Mass attenuation coefficients'!$A$2:$A$37,1)))),0.997*$C508*'Mass attenuation coefficients'!$B$2/'Mass attenuation coefficients'!$A$2)</f>
        <v>0.11538654875</v>
      </c>
      <c r="I508" s="83">
        <f>_xlfn.IFNA(INDEX('Shultis Faw'!$C$2:$C$26,MATCH($C508,'Shultis Faw'!$A$2:$A$26,1))+($C508-INDEX('Shultis Faw'!$A$2:$A$26,MATCH($C508,'Shultis Faw'!$A$2:$A$26,1)))*(INDEX('Shultis Faw'!$C$2:$C$26,MATCH($C508,'Shultis Faw'!$A$2:$A$26,1)+1)-INDEX('Shultis Faw'!$C$2:$C$26,MATCH($C508,'Shultis Faw'!$A$2:$A$26,1)))/(INDEX('Shultis Faw'!$A$2:$A$26,MATCH($C508,'Shultis Faw'!$A$2:$A$26,1)+1)-INDEX('Shultis Faw'!$A$2:$A$26,MATCH($C508,'Shultis Faw'!$A$2:$A$26,1))),$C508*'Shultis Faw'!$C$2/'Shultis Faw'!$A$2)</f>
        <v>2.860382</v>
      </c>
      <c r="J508" s="83">
        <f>_xlfn.IFNA(INDEX('Shultis Faw'!$D$2:$D$26,MATCH($C508,'Shultis Faw'!$A$2:$A$26,1))+($C508-INDEX('Shultis Faw'!$A$2:$A$26,MATCH($C508,'Shultis Faw'!$A$2:$A$26,1)))*(INDEX('Shultis Faw'!$D$2:$D$26,MATCH($C508,'Shultis Faw'!$A$2:$A$26,1)+1)-INDEX('Shultis Faw'!$D$2:$D$26,MATCH($C508,'Shultis Faw'!$A$2:$A$26,1)))/(INDEX('Shultis Faw'!$A$2:$A$26,MATCH($C508,'Shultis Faw'!$A$2:$A$26,1)+1)-INDEX('Shultis Faw'!$A$2:$A$26,MATCH($C508,'Shultis Faw'!$A$2:$A$26,1))),$C508*'Shultis Faw'!$D$2/'Shultis Faw'!$A$2)</f>
        <v>1.9898979999999997</v>
      </c>
      <c r="K508" s="83">
        <f>_xlfn.IFNA(INDEX('Shultis Faw'!$B$2:$B$26,MATCH($C508,'Shultis Faw'!$A$2:$A$26,1))+($C508-INDEX('Shultis Faw'!$A$2:$A$26,MATCH($C508,'Shultis Faw'!$A$2:$A$26,1)))*(INDEX('Shultis Faw'!$B$2:$B$26,MATCH($C508,'Shultis Faw'!$A$2:$A$26,1)+1)-INDEX('Shultis Faw'!$B$2:$B$26,MATCH($C508,'Shultis Faw'!$A$2:$A$26,1)))/(INDEX('Shultis Faw'!$A$2:$A$26,MATCH($C508,'Shultis Faw'!$A$2:$A$26,1)+1)-INDEX('Shultis Faw'!$A$2:$A$26,MATCH($C508,'Shultis Faw'!$A$2:$A$26,1))),$C508*'Shultis Faw'!$B$2/'Shultis Faw'!$A$2)</f>
        <v>-0.16056049999999999</v>
      </c>
      <c r="L508" s="83">
        <f>_xlfn.IFNA(INDEX('Shultis Faw'!$E$2:$E$26,MATCH($C508,'Shultis Faw'!$A$2:$A$26,1))+($C508-INDEX('Shultis Faw'!$A$2:$A$26,MATCH($C508,'Shultis Faw'!$A$2:$A$26,1)))*(INDEX('Shultis Faw'!$E$2:$E$26,MATCH($C508,'Shultis Faw'!$A$2:$A$26,1)+1)-INDEX('Shultis Faw'!$E$2:$E$26,MATCH($C508,'Shultis Faw'!$A$2:$A$26,1)))/(INDEX('Shultis Faw'!$A$2:$A$26,MATCH($C508,'Shultis Faw'!$A$2:$A$26,1)+1)-INDEX('Shultis Faw'!$A$2:$A$26,MATCH($C508,'Shultis Faw'!$A$2:$A$26,1))),$C508*'Shultis Faw'!$E$2/'Shultis Faw'!$A$2)</f>
        <v>6.4124200000000006E-2</v>
      </c>
      <c r="M508" s="83">
        <f>_xlfn.IFNA(INDEX('Shultis Faw'!$F$2:$F$26,MATCH($C508,'Shultis Faw'!$A$2:$A$26,1))+($C508-INDEX('Shultis Faw'!$A$2:$A$26,MATCH($C508,'Shultis Faw'!$A$2:$A$26,1)))*(INDEX('Shultis Faw'!$F$2:$F$26,MATCH($C508,'Shultis Faw'!$A$2:$A$26,1)+1)-INDEX('Shultis Faw'!$F$2:$F$26,MATCH($C508,'Shultis Faw'!$A$2:$A$26,1)))/(INDEX('Shultis Faw'!$A$2:$A$26,MATCH($C508,'Shultis Faw'!$A$2:$A$26,1)+1)-INDEX('Shultis Faw'!$A$2:$A$26,MATCH($C508,'Shultis Faw'!$A$2:$A$26,1))),$C508*'Shultis Faw'!$F$2/'Shultis Faw'!$A$2)</f>
        <v>14.216879</v>
      </c>
      <c r="N508" s="83">
        <f>J508*(H508*'Externe blootstelling'!$D$23/2)^K508+L508*(TANH(((H508*'Externe blootstelling'!$D$23)/(2*M508))-2)-TANH(-2))/(1-TANH(-2))</f>
        <v>1.8224400558897342</v>
      </c>
      <c r="O508" s="83">
        <f>IF(N508=1,1+(I508-1)*H508*'Externe blootstelling'!$D$23/2,1+(I508-1)*(N508^(H508*'Externe blootstelling'!$D$23/2)-1)/(N508-1))</f>
        <v>5.1299621775970108</v>
      </c>
      <c r="P508" s="67">
        <f>G508*EXP(-H508*'Externe blootstelling'!$D$23/2)*O508</f>
        <v>2.3883583198930106E-4</v>
      </c>
      <c r="Q508" s="68"/>
    </row>
    <row r="509" spans="1:17" x14ac:dyDescent="0.2">
      <c r="A509" s="217"/>
      <c r="B509" s="64" t="s">
        <v>104</v>
      </c>
      <c r="C509" s="66">
        <v>0.45333999999999997</v>
      </c>
      <c r="D509" s="66">
        <f t="shared" si="37"/>
        <v>7.2534399999999985E-14</v>
      </c>
      <c r="E509" s="66">
        <v>7.2999999999999996E-4</v>
      </c>
      <c r="F509" s="66">
        <f>_xlfn.IFNA(INDEX('hp (pSv cm2)'!$B$2:$B$52,MATCH($C509,'hp (pSv cm2)'!$A$2:$A$52,1))+($C509-INDEX('hp (pSv cm2)'!$A$2:$A$52,MATCH($C509,'hp (pSv cm2)'!$A$2:$A$52,1)))*(INDEX('hp (pSv cm2)'!$B$2:$B$52,MATCH($C509,'hp (pSv cm2)'!$A$2:$A$52,1)+1)-INDEX('hp (pSv cm2)'!$B$2:$B$52,MATCH($C509,'hp (pSv cm2)'!$A$2:$A$52,1)))/(INDEX('hp (pSv cm2)'!$A$2:$A$52,MATCH($C509,'hp (pSv cm2)'!$A$2:$A$52,1)+1)-INDEX('hp (pSv cm2)'!$A$2:$A$52,MATCH($C509,'hp (pSv cm2)'!$A$2:$A$52,1))),$C509*'hp (pSv cm2)'!$B$2/'hp (pSv cm2)'!$A$2)</f>
        <v>2.2506979999999999</v>
      </c>
      <c r="G509" s="67">
        <f t="shared" si="38"/>
        <v>1.6430095399999998E-3</v>
      </c>
      <c r="H509" s="83">
        <f>_xlfn.IFNA(0.997*(INDEX('Mass attenuation coefficients'!$B$2:$B$37,MATCH($C509,'Mass attenuation coefficients'!$A$2:$A$37,1))+($C509-INDEX('Mass attenuation coefficients'!$A$2:$A$37,MATCH($C509,'Mass attenuation coefficients'!$A$2:$A$37,1)))*(INDEX('Mass attenuation coefficients'!$B$2:$B$37,MATCH($C509,'Mass attenuation coefficients'!$A$2:$A$37,1)+1)-INDEX('Mass attenuation coefficients'!$B$2:$B$37,MATCH($C509,'Mass attenuation coefficients'!$A$2:$A$37,1)))/(INDEX('Mass attenuation coefficients'!$A$2:$A$37,MATCH($C509,'Mass attenuation coefficients'!$A$2:$A$37,1)+1)-INDEX('Mass attenuation coefficients'!$A$2:$A$37,MATCH($C509,'Mass attenuation coefficients'!$A$2:$A$37,1)))),0.997*$C509*'Mass attenuation coefficients'!$B$2/'Mass attenuation coefficients'!$A$2)</f>
        <v>0.100873187846</v>
      </c>
      <c r="I509" s="83">
        <f>_xlfn.IFNA(INDEX('Shultis Faw'!$C$2:$C$26,MATCH($C509,'Shultis Faw'!$A$2:$A$26,1))+($C509-INDEX('Shultis Faw'!$A$2:$A$26,MATCH($C509,'Shultis Faw'!$A$2:$A$26,1)))*(INDEX('Shultis Faw'!$C$2:$C$26,MATCH($C509,'Shultis Faw'!$A$2:$A$26,1)+1)-INDEX('Shultis Faw'!$C$2:$C$26,MATCH($C509,'Shultis Faw'!$A$2:$A$26,1)))/(INDEX('Shultis Faw'!$A$2:$A$26,MATCH($C509,'Shultis Faw'!$A$2:$A$26,1)+1)-INDEX('Shultis Faw'!$A$2:$A$26,MATCH($C509,'Shultis Faw'!$A$2:$A$26,1))),$C509*'Shultis Faw'!$C$2/'Shultis Faw'!$A$2)</f>
        <v>2.5746560000000001</v>
      </c>
      <c r="J509" s="83">
        <f>_xlfn.IFNA(INDEX('Shultis Faw'!$D$2:$D$26,MATCH($C509,'Shultis Faw'!$A$2:$A$26,1))+($C509-INDEX('Shultis Faw'!$A$2:$A$26,MATCH($C509,'Shultis Faw'!$A$2:$A$26,1)))*(INDEX('Shultis Faw'!$D$2:$D$26,MATCH($C509,'Shultis Faw'!$A$2:$A$26,1)+1)-INDEX('Shultis Faw'!$D$2:$D$26,MATCH($C509,'Shultis Faw'!$A$2:$A$26,1)))/(INDEX('Shultis Faw'!$A$2:$A$26,MATCH($C509,'Shultis Faw'!$A$2:$A$26,1)+1)-INDEX('Shultis Faw'!$A$2:$A$26,MATCH($C509,'Shultis Faw'!$A$2:$A$26,1))),$C509*'Shultis Faw'!$D$2/'Shultis Faw'!$A$2)</f>
        <v>1.8201256000000001</v>
      </c>
      <c r="K509" s="83">
        <f>_xlfn.IFNA(INDEX('Shultis Faw'!$B$2:$B$26,MATCH($C509,'Shultis Faw'!$A$2:$A$26,1))+($C509-INDEX('Shultis Faw'!$A$2:$A$26,MATCH($C509,'Shultis Faw'!$A$2:$A$26,1)))*(INDEX('Shultis Faw'!$B$2:$B$26,MATCH($C509,'Shultis Faw'!$A$2:$A$26,1)+1)-INDEX('Shultis Faw'!$B$2:$B$26,MATCH($C509,'Shultis Faw'!$A$2:$A$26,1)))/(INDEX('Shultis Faw'!$A$2:$A$26,MATCH($C509,'Shultis Faw'!$A$2:$A$26,1)+1)-INDEX('Shultis Faw'!$A$2:$A$26,MATCH($C509,'Shultis Faw'!$A$2:$A$26,1))),$C509*'Shultis Faw'!$B$2/'Shultis Faw'!$A$2)</f>
        <v>-0.1415324</v>
      </c>
      <c r="L509" s="83">
        <f>_xlfn.IFNA(INDEX('Shultis Faw'!$E$2:$E$26,MATCH($C509,'Shultis Faw'!$A$2:$A$26,1))+($C509-INDEX('Shultis Faw'!$A$2:$A$26,MATCH($C509,'Shultis Faw'!$A$2:$A$26,1)))*(INDEX('Shultis Faw'!$E$2:$E$26,MATCH($C509,'Shultis Faw'!$A$2:$A$26,1)+1)-INDEX('Shultis Faw'!$E$2:$E$26,MATCH($C509,'Shultis Faw'!$A$2:$A$26,1)))/(INDEX('Shultis Faw'!$A$2:$A$26,MATCH($C509,'Shultis Faw'!$A$2:$A$26,1)+1)-INDEX('Shultis Faw'!$A$2:$A$26,MATCH($C509,'Shultis Faw'!$A$2:$A$26,1))),$C509*'Shultis Faw'!$E$2/'Shultis Faw'!$A$2)</f>
        <v>5.6886340000000001E-2</v>
      </c>
      <c r="M509" s="83">
        <f>_xlfn.IFNA(INDEX('Shultis Faw'!$F$2:$F$26,MATCH($C509,'Shultis Faw'!$A$2:$A$26,1))+($C509-INDEX('Shultis Faw'!$A$2:$A$26,MATCH($C509,'Shultis Faw'!$A$2:$A$26,1)))*(INDEX('Shultis Faw'!$F$2:$F$26,MATCH($C509,'Shultis Faw'!$A$2:$A$26,1)+1)-INDEX('Shultis Faw'!$F$2:$F$26,MATCH($C509,'Shultis Faw'!$A$2:$A$26,1)))/(INDEX('Shultis Faw'!$A$2:$A$26,MATCH($C509,'Shultis Faw'!$A$2:$A$26,1)+1)-INDEX('Shultis Faw'!$A$2:$A$26,MATCH($C509,'Shultis Faw'!$A$2:$A$26,1))),$C509*'Shultis Faw'!$F$2/'Shultis Faw'!$A$2)</f>
        <v>14.288005999999999</v>
      </c>
      <c r="N509" s="83">
        <f>J509*(H509*'Externe blootstelling'!$D$23/2)^K509+L509*(TANH(((H509*'Externe blootstelling'!$D$23)/(2*M509))-2)-TANH(-2))/(1-TANH(-2))</f>
        <v>1.7167424860946949</v>
      </c>
      <c r="O509" s="83">
        <f>IF(N509=1,1+(I509-1)*H509*'Externe blootstelling'!$D$23/2,1+(I509-1)*(N509^(H509*'Externe blootstelling'!$D$23/2)-1)/(N509-1))</f>
        <v>3.7798862920603047</v>
      </c>
      <c r="P509" s="67">
        <f>G509*EXP(-H509*'Externe blootstelling'!$D$23/2)*O509</f>
        <v>1.3676935152135766E-3</v>
      </c>
      <c r="Q509" s="68"/>
    </row>
    <row r="510" spans="1:17" x14ac:dyDescent="0.2">
      <c r="A510" s="217"/>
      <c r="B510" s="64" t="s">
        <v>104</v>
      </c>
      <c r="C510" s="66">
        <v>0.47799200000000003</v>
      </c>
      <c r="D510" s="66">
        <f t="shared" si="37"/>
        <v>7.6478719999999996E-14</v>
      </c>
      <c r="E510" s="66">
        <v>1.0200000000000001E-2</v>
      </c>
      <c r="F510" s="66">
        <f>_xlfn.IFNA(INDEX('hp (pSv cm2)'!$B$2:$B$52,MATCH($C510,'hp (pSv cm2)'!$A$2:$A$52,1))+($C510-INDEX('hp (pSv cm2)'!$A$2:$A$52,MATCH($C510,'hp (pSv cm2)'!$A$2:$A$52,1)))*(INDEX('hp (pSv cm2)'!$B$2:$B$52,MATCH($C510,'hp (pSv cm2)'!$A$2:$A$52,1)+1)-INDEX('hp (pSv cm2)'!$B$2:$B$52,MATCH($C510,'hp (pSv cm2)'!$A$2:$A$52,1)))/(INDEX('hp (pSv cm2)'!$A$2:$A$52,MATCH($C510,'hp (pSv cm2)'!$A$2:$A$52,1)+1)-INDEX('hp (pSv cm2)'!$A$2:$A$52,MATCH($C510,'hp (pSv cm2)'!$A$2:$A$52,1))),$C510*'hp (pSv cm2)'!$B$2/'hp (pSv cm2)'!$A$2)</f>
        <v>2.3665624000000003</v>
      </c>
      <c r="G510" s="67">
        <f t="shared" si="38"/>
        <v>2.4138936480000005E-2</v>
      </c>
      <c r="H510" s="83">
        <f>_xlfn.IFNA(0.997*(INDEX('Mass attenuation coefficients'!$B$2:$B$37,MATCH($C510,'Mass attenuation coefficients'!$A$2:$A$37,1))+($C510-INDEX('Mass attenuation coefficients'!$A$2:$A$37,MATCH($C510,'Mass attenuation coefficients'!$A$2:$A$37,1)))*(INDEX('Mass attenuation coefficients'!$B$2:$B$37,MATCH($C510,'Mass attenuation coefficients'!$A$2:$A$37,1)+1)-INDEX('Mass attenuation coefficients'!$B$2:$B$37,MATCH($C510,'Mass attenuation coefficients'!$A$2:$A$37,1)))/(INDEX('Mass attenuation coefficients'!$A$2:$A$37,MATCH($C510,'Mass attenuation coefficients'!$A$2:$A$37,1)+1)-INDEX('Mass attenuation coefficients'!$A$2:$A$37,MATCH($C510,'Mass attenuation coefficients'!$A$2:$A$37,1)))),0.997*$C510*'Mass attenuation coefficients'!$B$2/'Mass attenuation coefficients'!$A$2)</f>
        <v>9.8604634384799994E-2</v>
      </c>
      <c r="I510" s="83">
        <f>_xlfn.IFNA(INDEX('Shultis Faw'!$C$2:$C$26,MATCH($C510,'Shultis Faw'!$A$2:$A$26,1))+($C510-INDEX('Shultis Faw'!$A$2:$A$26,MATCH($C510,'Shultis Faw'!$A$2:$A$26,1)))*(INDEX('Shultis Faw'!$C$2:$C$26,MATCH($C510,'Shultis Faw'!$A$2:$A$26,1)+1)-INDEX('Shultis Faw'!$C$2:$C$26,MATCH($C510,'Shultis Faw'!$A$2:$A$26,1)))/(INDEX('Shultis Faw'!$A$2:$A$26,MATCH($C510,'Shultis Faw'!$A$2:$A$26,1)+1)-INDEX('Shultis Faw'!$A$2:$A$26,MATCH($C510,'Shultis Faw'!$A$2:$A$26,1))),$C510*'Shultis Faw'!$C$2/'Shultis Faw'!$A$2)</f>
        <v>2.5352128</v>
      </c>
      <c r="J510" s="83">
        <f>_xlfn.IFNA(INDEX('Shultis Faw'!$D$2:$D$26,MATCH($C510,'Shultis Faw'!$A$2:$A$26,1))+($C510-INDEX('Shultis Faw'!$A$2:$A$26,MATCH($C510,'Shultis Faw'!$A$2:$A$26,1)))*(INDEX('Shultis Faw'!$D$2:$D$26,MATCH($C510,'Shultis Faw'!$A$2:$A$26,1)+1)-INDEX('Shultis Faw'!$D$2:$D$26,MATCH($C510,'Shultis Faw'!$A$2:$A$26,1)))/(INDEX('Shultis Faw'!$A$2:$A$26,MATCH($C510,'Shultis Faw'!$A$2:$A$26,1)+1)-INDEX('Shultis Faw'!$A$2:$A$26,MATCH($C510,'Shultis Faw'!$A$2:$A$26,1))),$C510*'Shultis Faw'!$D$2/'Shultis Faw'!$A$2)</f>
        <v>1.79152928</v>
      </c>
      <c r="K510" s="83">
        <f>_xlfn.IFNA(INDEX('Shultis Faw'!$B$2:$B$26,MATCH($C510,'Shultis Faw'!$A$2:$A$26,1))+($C510-INDEX('Shultis Faw'!$A$2:$A$26,MATCH($C510,'Shultis Faw'!$A$2:$A$26,1)))*(INDEX('Shultis Faw'!$B$2:$B$26,MATCH($C510,'Shultis Faw'!$A$2:$A$26,1)+1)-INDEX('Shultis Faw'!$B$2:$B$26,MATCH($C510,'Shultis Faw'!$A$2:$A$26,1)))/(INDEX('Shultis Faw'!$A$2:$A$26,MATCH($C510,'Shultis Faw'!$A$2:$A$26,1)+1)-INDEX('Shultis Faw'!$A$2:$A$26,MATCH($C510,'Shultis Faw'!$A$2:$A$26,1))),$C510*'Shultis Faw'!$B$2/'Shultis Faw'!$A$2)</f>
        <v>-0.13808112</v>
      </c>
      <c r="L510" s="83">
        <f>_xlfn.IFNA(INDEX('Shultis Faw'!$E$2:$E$26,MATCH($C510,'Shultis Faw'!$A$2:$A$26,1))+($C510-INDEX('Shultis Faw'!$A$2:$A$26,MATCH($C510,'Shultis Faw'!$A$2:$A$26,1)))*(INDEX('Shultis Faw'!$E$2:$E$26,MATCH($C510,'Shultis Faw'!$A$2:$A$26,1)+1)-INDEX('Shultis Faw'!$E$2:$E$26,MATCH($C510,'Shultis Faw'!$A$2:$A$26,1)))/(INDEX('Shultis Faw'!$A$2:$A$26,MATCH($C510,'Shultis Faw'!$A$2:$A$26,1)+1)-INDEX('Shultis Faw'!$A$2:$A$26,MATCH($C510,'Shultis Faw'!$A$2:$A$26,1))),$C510*'Shultis Faw'!$E$2/'Shultis Faw'!$A$2)</f>
        <v>5.5678392E-2</v>
      </c>
      <c r="M510" s="83">
        <f>_xlfn.IFNA(INDEX('Shultis Faw'!$F$2:$F$26,MATCH($C510,'Shultis Faw'!$A$2:$A$26,1))+($C510-INDEX('Shultis Faw'!$A$2:$A$26,MATCH($C510,'Shultis Faw'!$A$2:$A$26,1)))*(INDEX('Shultis Faw'!$F$2:$F$26,MATCH($C510,'Shultis Faw'!$A$2:$A$26,1)+1)-INDEX('Shultis Faw'!$F$2:$F$26,MATCH($C510,'Shultis Faw'!$A$2:$A$26,1)))/(INDEX('Shultis Faw'!$A$2:$A$26,MATCH($C510,'Shultis Faw'!$A$2:$A$26,1)+1)-INDEX('Shultis Faw'!$A$2:$A$26,MATCH($C510,'Shultis Faw'!$A$2:$A$26,1))),$C510*'Shultis Faw'!$F$2/'Shultis Faw'!$A$2)</f>
        <v>14.310192799999999</v>
      </c>
      <c r="N510" s="83">
        <f>J510*(H510*'Externe blootstelling'!$D$23/2)^K510+L510*(TANH(((H510*'Externe blootstelling'!$D$23)/(2*M510))-2)-TANH(-2))/(1-TANH(-2))</f>
        <v>1.6975019930162747</v>
      </c>
      <c r="O510" s="83">
        <f>IF(N510=1,1+(I510-1)*H510*'Externe blootstelling'!$D$23/2,1+(I510-1)*(N510^(H510*'Externe blootstelling'!$D$23/2)-1)/(N510-1))</f>
        <v>3.6132331268072524</v>
      </c>
      <c r="P510" s="67">
        <f>G510*EXP(-H510*'Externe blootstelling'!$D$23/2)*O510</f>
        <v>1.9872952117417998E-2</v>
      </c>
      <c r="Q510" s="68"/>
    </row>
    <row r="511" spans="1:17" x14ac:dyDescent="0.2">
      <c r="A511" s="217"/>
      <c r="B511" s="64" t="s">
        <v>104</v>
      </c>
      <c r="C511" s="66">
        <v>0.48608699999999999</v>
      </c>
      <c r="D511" s="66">
        <f t="shared" si="37"/>
        <v>7.7773919999999994E-14</v>
      </c>
      <c r="E511" s="66">
        <v>7.9000000000000001E-4</v>
      </c>
      <c r="F511" s="66">
        <f>_xlfn.IFNA(INDEX('hp (pSv cm2)'!$B$2:$B$52,MATCH($C511,'hp (pSv cm2)'!$A$2:$A$52,1))+($C511-INDEX('hp (pSv cm2)'!$A$2:$A$52,MATCH($C511,'hp (pSv cm2)'!$A$2:$A$52,1)))*(INDEX('hp (pSv cm2)'!$B$2:$B$52,MATCH($C511,'hp (pSv cm2)'!$A$2:$A$52,1)+1)-INDEX('hp (pSv cm2)'!$B$2:$B$52,MATCH($C511,'hp (pSv cm2)'!$A$2:$A$52,1)))/(INDEX('hp (pSv cm2)'!$A$2:$A$52,MATCH($C511,'hp (pSv cm2)'!$A$2:$A$52,1)+1)-INDEX('hp (pSv cm2)'!$A$2:$A$52,MATCH($C511,'hp (pSv cm2)'!$A$2:$A$52,1))),$C511*'hp (pSv cm2)'!$B$2/'hp (pSv cm2)'!$A$2)</f>
        <v>2.4046088999999999</v>
      </c>
      <c r="G511" s="67">
        <f t="shared" si="38"/>
        <v>1.899641031E-3</v>
      </c>
      <c r="H511" s="83">
        <f>_xlfn.IFNA(0.997*(INDEX('Mass attenuation coefficients'!$B$2:$B$37,MATCH($C511,'Mass attenuation coefficients'!$A$2:$A$37,1))+($C511-INDEX('Mass attenuation coefficients'!$A$2:$A$37,MATCH($C511,'Mass attenuation coefficients'!$A$2:$A$37,1)))*(INDEX('Mass attenuation coefficients'!$B$2:$B$37,MATCH($C511,'Mass attenuation coefficients'!$A$2:$A$37,1)+1)-INDEX('Mass attenuation coefficients'!$B$2:$B$37,MATCH($C511,'Mass attenuation coefficients'!$A$2:$A$37,1)))/(INDEX('Mass attenuation coefficients'!$A$2:$A$37,MATCH($C511,'Mass attenuation coefficients'!$A$2:$A$37,1)+1)-INDEX('Mass attenuation coefficients'!$A$2:$A$37,MATCH($C511,'Mass attenuation coefficients'!$A$2:$A$37,1)))),0.997*$C511*'Mass attenuation coefficients'!$B$2/'Mass attenuation coefficients'!$A$2)</f>
        <v>9.7859707390300005E-2</v>
      </c>
      <c r="I511" s="83">
        <f>_xlfn.IFNA(INDEX('Shultis Faw'!$C$2:$C$26,MATCH($C511,'Shultis Faw'!$A$2:$A$26,1))+($C511-INDEX('Shultis Faw'!$A$2:$A$26,MATCH($C511,'Shultis Faw'!$A$2:$A$26,1)))*(INDEX('Shultis Faw'!$C$2:$C$26,MATCH($C511,'Shultis Faw'!$A$2:$A$26,1)+1)-INDEX('Shultis Faw'!$C$2:$C$26,MATCH($C511,'Shultis Faw'!$A$2:$A$26,1)))/(INDEX('Shultis Faw'!$A$2:$A$26,MATCH($C511,'Shultis Faw'!$A$2:$A$26,1)+1)-INDEX('Shultis Faw'!$A$2:$A$26,MATCH($C511,'Shultis Faw'!$A$2:$A$26,1))),$C511*'Shultis Faw'!$C$2/'Shultis Faw'!$A$2)</f>
        <v>2.5222608000000002</v>
      </c>
      <c r="J511" s="83">
        <f>_xlfn.IFNA(INDEX('Shultis Faw'!$D$2:$D$26,MATCH($C511,'Shultis Faw'!$A$2:$A$26,1))+($C511-INDEX('Shultis Faw'!$A$2:$A$26,MATCH($C511,'Shultis Faw'!$A$2:$A$26,1)))*(INDEX('Shultis Faw'!$D$2:$D$26,MATCH($C511,'Shultis Faw'!$A$2:$A$26,1)+1)-INDEX('Shultis Faw'!$D$2:$D$26,MATCH($C511,'Shultis Faw'!$A$2:$A$26,1)))/(INDEX('Shultis Faw'!$A$2:$A$26,MATCH($C511,'Shultis Faw'!$A$2:$A$26,1)+1)-INDEX('Shultis Faw'!$A$2:$A$26,MATCH($C511,'Shultis Faw'!$A$2:$A$26,1))),$C511*'Shultis Faw'!$D$2/'Shultis Faw'!$A$2)</f>
        <v>1.7821390800000001</v>
      </c>
      <c r="K511" s="83">
        <f>_xlfn.IFNA(INDEX('Shultis Faw'!$B$2:$B$26,MATCH($C511,'Shultis Faw'!$A$2:$A$26,1))+($C511-INDEX('Shultis Faw'!$A$2:$A$26,MATCH($C511,'Shultis Faw'!$A$2:$A$26,1)))*(INDEX('Shultis Faw'!$B$2:$B$26,MATCH($C511,'Shultis Faw'!$A$2:$A$26,1)+1)-INDEX('Shultis Faw'!$B$2:$B$26,MATCH($C511,'Shultis Faw'!$A$2:$A$26,1)))/(INDEX('Shultis Faw'!$A$2:$A$26,MATCH($C511,'Shultis Faw'!$A$2:$A$26,1)+1)-INDEX('Shultis Faw'!$A$2:$A$26,MATCH($C511,'Shultis Faw'!$A$2:$A$26,1))),$C511*'Shultis Faw'!$B$2/'Shultis Faw'!$A$2)</f>
        <v>-0.13694782</v>
      </c>
      <c r="L511" s="83">
        <f>_xlfn.IFNA(INDEX('Shultis Faw'!$E$2:$E$26,MATCH($C511,'Shultis Faw'!$A$2:$A$26,1))+($C511-INDEX('Shultis Faw'!$A$2:$A$26,MATCH($C511,'Shultis Faw'!$A$2:$A$26,1)))*(INDEX('Shultis Faw'!$E$2:$E$26,MATCH($C511,'Shultis Faw'!$A$2:$A$26,1)+1)-INDEX('Shultis Faw'!$E$2:$E$26,MATCH($C511,'Shultis Faw'!$A$2:$A$26,1)))/(INDEX('Shultis Faw'!$A$2:$A$26,MATCH($C511,'Shultis Faw'!$A$2:$A$26,1)+1)-INDEX('Shultis Faw'!$A$2:$A$26,MATCH($C511,'Shultis Faw'!$A$2:$A$26,1))),$C511*'Shultis Faw'!$E$2/'Shultis Faw'!$A$2)</f>
        <v>5.5281737000000004E-2</v>
      </c>
      <c r="M511" s="83">
        <f>_xlfn.IFNA(INDEX('Shultis Faw'!$F$2:$F$26,MATCH($C511,'Shultis Faw'!$A$2:$A$26,1))+($C511-INDEX('Shultis Faw'!$A$2:$A$26,MATCH($C511,'Shultis Faw'!$A$2:$A$26,1)))*(INDEX('Shultis Faw'!$F$2:$F$26,MATCH($C511,'Shultis Faw'!$A$2:$A$26,1)+1)-INDEX('Shultis Faw'!$F$2:$F$26,MATCH($C511,'Shultis Faw'!$A$2:$A$26,1)))/(INDEX('Shultis Faw'!$A$2:$A$26,MATCH($C511,'Shultis Faw'!$A$2:$A$26,1)+1)-INDEX('Shultis Faw'!$A$2:$A$26,MATCH($C511,'Shultis Faw'!$A$2:$A$26,1))),$C511*'Shultis Faw'!$F$2/'Shultis Faw'!$A$2)</f>
        <v>14.317478299999999</v>
      </c>
      <c r="N511" s="83">
        <f>J511*(H511*'Externe blootstelling'!$D$23/2)^K511+L511*(TANH(((H511*'Externe blootstelling'!$D$23)/(2*M511))-2)-TANH(-2))/(1-TANH(-2))</f>
        <v>1.6911064043223858</v>
      </c>
      <c r="O511" s="83">
        <f>IF(N511=1,1+(I511-1)*H511*'Externe blootstelling'!$D$23/2,1+(I511-1)*(N511^(H511*'Externe blootstelling'!$D$23/2)-1)/(N511-1))</f>
        <v>3.5602984627038921</v>
      </c>
      <c r="P511" s="67">
        <f>G511*EXP(-H511*'Externe blootstelling'!$D$23/2)*O511</f>
        <v>1.5583283958101705E-3</v>
      </c>
      <c r="Q511" s="68"/>
    </row>
    <row r="512" spans="1:17" x14ac:dyDescent="0.2">
      <c r="A512" s="217"/>
      <c r="B512" s="64" t="s">
        <v>104</v>
      </c>
      <c r="C512" s="66">
        <v>0.51488</v>
      </c>
      <c r="D512" s="66">
        <f t="shared" si="37"/>
        <v>8.2380799999999993E-14</v>
      </c>
      <c r="E512" s="66">
        <v>5.4000000000000005E-5</v>
      </c>
      <c r="F512" s="66">
        <f>_xlfn.IFNA(INDEX('hp (pSv cm2)'!$B$2:$B$52,MATCH($C512,'hp (pSv cm2)'!$A$2:$A$52,1))+($C512-INDEX('hp (pSv cm2)'!$A$2:$A$52,MATCH($C512,'hp (pSv cm2)'!$A$2:$A$52,1)))*(INDEX('hp (pSv cm2)'!$B$2:$B$52,MATCH($C512,'hp (pSv cm2)'!$A$2:$A$52,1)+1)-INDEX('hp (pSv cm2)'!$B$2:$B$52,MATCH($C512,'hp (pSv cm2)'!$A$2:$A$52,1)))/(INDEX('hp (pSv cm2)'!$A$2:$A$52,MATCH($C512,'hp (pSv cm2)'!$A$2:$A$52,1)+1)-INDEX('hp (pSv cm2)'!$A$2:$A$52,MATCH($C512,'hp (pSv cm2)'!$A$2:$A$52,1))),$C512*'hp (pSv cm2)'!$B$2/'hp (pSv cm2)'!$A$2)</f>
        <v>2.5354720000000004</v>
      </c>
      <c r="G512" s="67">
        <f t="shared" si="38"/>
        <v>1.3691548800000004E-4</v>
      </c>
      <c r="H512" s="83">
        <f>_xlfn.IFNA(0.997*(INDEX('Mass attenuation coefficients'!$B$2:$B$37,MATCH($C512,'Mass attenuation coefficients'!$A$2:$A$37,1))+($C512-INDEX('Mass attenuation coefficients'!$A$2:$A$37,MATCH($C512,'Mass attenuation coefficients'!$A$2:$A$37,1)))*(INDEX('Mass attenuation coefficients'!$B$2:$B$37,MATCH($C512,'Mass attenuation coefficients'!$A$2:$A$37,1)+1)-INDEX('Mass attenuation coefficients'!$B$2:$B$37,MATCH($C512,'Mass attenuation coefficients'!$A$2:$A$37,1)))/(INDEX('Mass attenuation coefficients'!$A$2:$A$37,MATCH($C512,'Mass attenuation coefficients'!$A$2:$A$37,1)+1)-INDEX('Mass attenuation coefficients'!$A$2:$A$37,MATCH($C512,'Mass attenuation coefficients'!$A$2:$A$37,1)))),0.997*$C512*'Mass attenuation coefficients'!$B$2/'Mass attenuation coefficients'!$A$2)</f>
        <v>9.5494925184000004E-2</v>
      </c>
      <c r="I512" s="83">
        <f>_xlfn.IFNA(INDEX('Shultis Faw'!$C$2:$C$26,MATCH($C512,'Shultis Faw'!$A$2:$A$26,1))+($C512-INDEX('Shultis Faw'!$A$2:$A$26,MATCH($C512,'Shultis Faw'!$A$2:$A$26,1)))*(INDEX('Shultis Faw'!$C$2:$C$26,MATCH($C512,'Shultis Faw'!$A$2:$A$26,1)+1)-INDEX('Shultis Faw'!$C$2:$C$26,MATCH($C512,'Shultis Faw'!$A$2:$A$26,1)))/(INDEX('Shultis Faw'!$A$2:$A$26,MATCH($C512,'Shultis Faw'!$A$2:$A$26,1)+1)-INDEX('Shultis Faw'!$A$2:$A$26,MATCH($C512,'Shultis Faw'!$A$2:$A$26,1))),$C512*'Shultis Faw'!$C$2/'Shultis Faw'!$A$2)</f>
        <v>2.4816975999999999</v>
      </c>
      <c r="J512" s="83">
        <f>_xlfn.IFNA(INDEX('Shultis Faw'!$D$2:$D$26,MATCH($C512,'Shultis Faw'!$A$2:$A$26,1))+($C512-INDEX('Shultis Faw'!$A$2:$A$26,MATCH($C512,'Shultis Faw'!$A$2:$A$26,1)))*(INDEX('Shultis Faw'!$D$2:$D$26,MATCH($C512,'Shultis Faw'!$A$2:$A$26,1)+1)-INDEX('Shultis Faw'!$D$2:$D$26,MATCH($C512,'Shultis Faw'!$A$2:$A$26,1)))/(INDEX('Shultis Faw'!$A$2:$A$26,MATCH($C512,'Shultis Faw'!$A$2:$A$26,1)+1)-INDEX('Shultis Faw'!$A$2:$A$26,MATCH($C512,'Shultis Faw'!$A$2:$A$26,1))),$C512*'Shultis Faw'!$D$2/'Shultis Faw'!$A$2)</f>
        <v>1.7530543999999999</v>
      </c>
      <c r="K512" s="83">
        <f>_xlfn.IFNA(INDEX('Shultis Faw'!$B$2:$B$26,MATCH($C512,'Shultis Faw'!$A$2:$A$26,1))+($C512-INDEX('Shultis Faw'!$A$2:$A$26,MATCH($C512,'Shultis Faw'!$A$2:$A$26,1)))*(INDEX('Shultis Faw'!$B$2:$B$26,MATCH($C512,'Shultis Faw'!$A$2:$A$26,1)+1)-INDEX('Shultis Faw'!$B$2:$B$26,MATCH($C512,'Shultis Faw'!$A$2:$A$26,1)))/(INDEX('Shultis Faw'!$A$2:$A$26,MATCH($C512,'Shultis Faw'!$A$2:$A$26,1)+1)-INDEX('Shultis Faw'!$A$2:$A$26,MATCH($C512,'Shultis Faw'!$A$2:$A$26,1))),$C512*'Shultis Faw'!$B$2/'Shultis Faw'!$A$2)</f>
        <v>-0.13336320000000002</v>
      </c>
      <c r="L512" s="83">
        <f>_xlfn.IFNA(INDEX('Shultis Faw'!$E$2:$E$26,MATCH($C512,'Shultis Faw'!$A$2:$A$26,1))+($C512-INDEX('Shultis Faw'!$A$2:$A$26,MATCH($C512,'Shultis Faw'!$A$2:$A$26,1)))*(INDEX('Shultis Faw'!$E$2:$E$26,MATCH($C512,'Shultis Faw'!$A$2:$A$26,1)+1)-INDEX('Shultis Faw'!$E$2:$E$26,MATCH($C512,'Shultis Faw'!$A$2:$A$26,1)))/(INDEX('Shultis Faw'!$A$2:$A$26,MATCH($C512,'Shultis Faw'!$A$2:$A$26,1)+1)-INDEX('Shultis Faw'!$A$2:$A$26,MATCH($C512,'Shultis Faw'!$A$2:$A$26,1))),$C512*'Shultis Faw'!$E$2/'Shultis Faw'!$A$2)</f>
        <v>5.396016E-2</v>
      </c>
      <c r="M512" s="83">
        <f>_xlfn.IFNA(INDEX('Shultis Faw'!$F$2:$F$26,MATCH($C512,'Shultis Faw'!$A$2:$A$26,1))+($C512-INDEX('Shultis Faw'!$A$2:$A$26,MATCH($C512,'Shultis Faw'!$A$2:$A$26,1)))*(INDEX('Shultis Faw'!$F$2:$F$26,MATCH($C512,'Shultis Faw'!$A$2:$A$26,1)+1)-INDEX('Shultis Faw'!$F$2:$F$26,MATCH($C512,'Shultis Faw'!$A$2:$A$26,1)))/(INDEX('Shultis Faw'!$A$2:$A$26,MATCH($C512,'Shultis Faw'!$A$2:$A$26,1)+1)-INDEX('Shultis Faw'!$A$2:$A$26,MATCH($C512,'Shultis Faw'!$A$2:$A$26,1))),$C512*'Shultis Faw'!$F$2/'Shultis Faw'!$A$2)</f>
        <v>14.31512</v>
      </c>
      <c r="N512" s="83">
        <f>J512*(H512*'Externe blootstelling'!$D$23/2)^K512+L512*(TANH(((H512*'Externe blootstelling'!$D$23)/(2*M512))-2)-TANH(-2))/(1-TANH(-2))</f>
        <v>1.671232421685708</v>
      </c>
      <c r="O512" s="83">
        <f>IF(N512=1,1+(I512-1)*H512*'Externe blootstelling'!$D$23/2,1+(I512-1)*(N512^(H512*'Externe blootstelling'!$D$23/2)-1)/(N512-1))</f>
        <v>3.3990596857830586</v>
      </c>
      <c r="P512" s="67">
        <f>G512*EXP(-H512*'Externe blootstelling'!$D$23/2)*O512</f>
        <v>1.1110090163908996E-4</v>
      </c>
      <c r="Q512" s="68"/>
    </row>
    <row r="513" spans="1:17" x14ac:dyDescent="0.2">
      <c r="A513" s="217"/>
      <c r="B513" s="64" t="s">
        <v>104</v>
      </c>
      <c r="C513" s="66">
        <v>0.55771000000000004</v>
      </c>
      <c r="D513" s="66">
        <f t="shared" si="37"/>
        <v>8.9233599999999998E-14</v>
      </c>
      <c r="E513" s="66">
        <v>9.5000000000000005E-6</v>
      </c>
      <c r="F513" s="66">
        <f>_xlfn.IFNA(INDEX('hp (pSv cm2)'!$B$2:$B$52,MATCH($C513,'hp (pSv cm2)'!$A$2:$A$52,1))+($C513-INDEX('hp (pSv cm2)'!$A$2:$A$52,MATCH($C513,'hp (pSv cm2)'!$A$2:$A$52,1)))*(INDEX('hp (pSv cm2)'!$B$2:$B$52,MATCH($C513,'hp (pSv cm2)'!$A$2:$A$52,1)+1)-INDEX('hp (pSv cm2)'!$B$2:$B$52,MATCH($C513,'hp (pSv cm2)'!$A$2:$A$52,1)))/(INDEX('hp (pSv cm2)'!$A$2:$A$52,MATCH($C513,'hp (pSv cm2)'!$A$2:$A$52,1)+1)-INDEX('hp (pSv cm2)'!$A$2:$A$52,MATCH($C513,'hp (pSv cm2)'!$A$2:$A$52,1))),$C513*'hp (pSv cm2)'!$B$2/'hp (pSv cm2)'!$A$2)</f>
        <v>2.7239240000000002</v>
      </c>
      <c r="G513" s="67">
        <f t="shared" si="38"/>
        <v>2.5877278000000004E-5</v>
      </c>
      <c r="H513" s="83">
        <f>_xlfn.IFNA(0.997*(INDEX('Mass attenuation coefficients'!$B$2:$B$37,MATCH($C513,'Mass attenuation coefficients'!$A$2:$A$37,1))+($C513-INDEX('Mass attenuation coefficients'!$A$2:$A$37,MATCH($C513,'Mass attenuation coefficients'!$A$2:$A$37,1)))*(INDEX('Mass attenuation coefficients'!$B$2:$B$37,MATCH($C513,'Mass attenuation coefficients'!$A$2:$A$37,1)+1)-INDEX('Mass attenuation coefficients'!$B$2:$B$37,MATCH($C513,'Mass attenuation coefficients'!$A$2:$A$37,1)))/(INDEX('Mass attenuation coefficients'!$A$2:$A$37,MATCH($C513,'Mass attenuation coefficients'!$A$2:$A$37,1)+1)-INDEX('Mass attenuation coefficients'!$A$2:$A$37,MATCH($C513,'Mass attenuation coefficients'!$A$2:$A$37,1)))),0.997*$C513*'Mass attenuation coefficients'!$B$2/'Mass attenuation coefficients'!$A$2)</f>
        <v>9.2373444802999999E-2</v>
      </c>
      <c r="I513" s="83">
        <f>_xlfn.IFNA(INDEX('Shultis Faw'!$C$2:$C$26,MATCH($C513,'Shultis Faw'!$A$2:$A$26,1))+($C513-INDEX('Shultis Faw'!$A$2:$A$26,MATCH($C513,'Shultis Faw'!$A$2:$A$26,1)))*(INDEX('Shultis Faw'!$C$2:$C$26,MATCH($C513,'Shultis Faw'!$A$2:$A$26,1)+1)-INDEX('Shultis Faw'!$C$2:$C$26,MATCH($C513,'Shultis Faw'!$A$2:$A$26,1)))/(INDEX('Shultis Faw'!$A$2:$A$26,MATCH($C513,'Shultis Faw'!$A$2:$A$26,1)+1)-INDEX('Shultis Faw'!$A$2:$A$26,MATCH($C513,'Shultis Faw'!$A$2:$A$26,1))),$C513*'Shultis Faw'!$C$2/'Shultis Faw'!$A$2)</f>
        <v>2.4290167</v>
      </c>
      <c r="J513" s="83">
        <f>_xlfn.IFNA(INDEX('Shultis Faw'!$D$2:$D$26,MATCH($C513,'Shultis Faw'!$A$2:$A$26,1))+($C513-INDEX('Shultis Faw'!$A$2:$A$26,MATCH($C513,'Shultis Faw'!$A$2:$A$26,1)))*(INDEX('Shultis Faw'!$D$2:$D$26,MATCH($C513,'Shultis Faw'!$A$2:$A$26,1)+1)-INDEX('Shultis Faw'!$D$2:$D$26,MATCH($C513,'Shultis Faw'!$A$2:$A$26,1)))/(INDEX('Shultis Faw'!$A$2:$A$26,MATCH($C513,'Shultis Faw'!$A$2:$A$26,1)+1)-INDEX('Shultis Faw'!$A$2:$A$26,MATCH($C513,'Shultis Faw'!$A$2:$A$26,1))),$C513*'Shultis Faw'!$D$2/'Shultis Faw'!$A$2)</f>
        <v>1.7157922999999999</v>
      </c>
      <c r="K513" s="83">
        <f>_xlfn.IFNA(INDEX('Shultis Faw'!$B$2:$B$26,MATCH($C513,'Shultis Faw'!$A$2:$A$26,1))+($C513-INDEX('Shultis Faw'!$A$2:$A$26,MATCH($C513,'Shultis Faw'!$A$2:$A$26,1)))*(INDEX('Shultis Faw'!$B$2:$B$26,MATCH($C513,'Shultis Faw'!$A$2:$A$26,1)+1)-INDEX('Shultis Faw'!$B$2:$B$26,MATCH($C513,'Shultis Faw'!$A$2:$A$26,1)))/(INDEX('Shultis Faw'!$A$2:$A$26,MATCH($C513,'Shultis Faw'!$A$2:$A$26,1)+1)-INDEX('Shultis Faw'!$A$2:$A$26,MATCH($C513,'Shultis Faw'!$A$2:$A$26,1))),$C513*'Shultis Faw'!$B$2/'Shultis Faw'!$A$2)</f>
        <v>-0.12865189999999999</v>
      </c>
      <c r="L513" s="83">
        <f>_xlfn.IFNA(INDEX('Shultis Faw'!$E$2:$E$26,MATCH($C513,'Shultis Faw'!$A$2:$A$26,1))+($C513-INDEX('Shultis Faw'!$A$2:$A$26,MATCH($C513,'Shultis Faw'!$A$2:$A$26,1)))*(INDEX('Shultis Faw'!$E$2:$E$26,MATCH($C513,'Shultis Faw'!$A$2:$A$26,1)+1)-INDEX('Shultis Faw'!$E$2:$E$26,MATCH($C513,'Shultis Faw'!$A$2:$A$26,1)))/(INDEX('Shultis Faw'!$A$2:$A$26,MATCH($C513,'Shultis Faw'!$A$2:$A$26,1)+1)-INDEX('Shultis Faw'!$A$2:$A$26,MATCH($C513,'Shultis Faw'!$A$2:$A$26,1))),$C513*'Shultis Faw'!$E$2/'Shultis Faw'!$A$2)</f>
        <v>5.211847E-2</v>
      </c>
      <c r="M513" s="83">
        <f>_xlfn.IFNA(INDEX('Shultis Faw'!$F$2:$F$26,MATCH($C513,'Shultis Faw'!$A$2:$A$26,1))+($C513-INDEX('Shultis Faw'!$A$2:$A$26,MATCH($C513,'Shultis Faw'!$A$2:$A$26,1)))*(INDEX('Shultis Faw'!$F$2:$F$26,MATCH($C513,'Shultis Faw'!$A$2:$A$26,1)+1)-INDEX('Shultis Faw'!$F$2:$F$26,MATCH($C513,'Shultis Faw'!$A$2:$A$26,1)))/(INDEX('Shultis Faw'!$A$2:$A$26,MATCH($C513,'Shultis Faw'!$A$2:$A$26,1)+1)-INDEX('Shultis Faw'!$A$2:$A$26,MATCH($C513,'Shultis Faw'!$A$2:$A$26,1))),$C513*'Shultis Faw'!$F$2/'Shultis Faw'!$A$2)</f>
        <v>14.27229</v>
      </c>
      <c r="N513" s="83">
        <f>J513*(H513*'Externe blootstelling'!$D$23/2)^K513+L513*(TANH(((H513*'Externe blootstelling'!$D$23)/(2*M513))-2)-TANH(-2))/(1-TANH(-2))</f>
        <v>1.6454909005334568</v>
      </c>
      <c r="O513" s="83">
        <f>IF(N513=1,1+(I513-1)*H513*'Externe blootstelling'!$D$23/2,1+(I513-1)*(N513^(H513*'Externe blootstelling'!$D$23/2)-1)/(N513-1))</f>
        <v>3.2002998567057439</v>
      </c>
      <c r="P513" s="67">
        <f>G513*EXP(-H513*'Externe blootstelling'!$D$23/2)*O513</f>
        <v>2.0718108506933999E-5</v>
      </c>
      <c r="Q513" s="68"/>
    </row>
    <row r="514" spans="1:17" x14ac:dyDescent="0.2">
      <c r="A514" s="217"/>
      <c r="B514" s="64" t="s">
        <v>104</v>
      </c>
      <c r="C514" s="66">
        <v>0.62379999999999991</v>
      </c>
      <c r="D514" s="66">
        <f t="shared" si="37"/>
        <v>9.9807999999999975E-14</v>
      </c>
      <c r="E514" s="66">
        <v>2.3999999999999997E-5</v>
      </c>
      <c r="F514" s="66">
        <f>_xlfn.IFNA(INDEX('hp (pSv cm2)'!$B$2:$B$52,MATCH($C514,'hp (pSv cm2)'!$A$2:$A$52,1))+($C514-INDEX('hp (pSv cm2)'!$A$2:$A$52,MATCH($C514,'hp (pSv cm2)'!$A$2:$A$52,1)))*(INDEX('hp (pSv cm2)'!$B$2:$B$52,MATCH($C514,'hp (pSv cm2)'!$A$2:$A$52,1)+1)-INDEX('hp (pSv cm2)'!$B$2:$B$52,MATCH($C514,'hp (pSv cm2)'!$A$2:$A$52,1)))/(INDEX('hp (pSv cm2)'!$A$2:$A$52,MATCH($C514,'hp (pSv cm2)'!$A$2:$A$52,1)+1)-INDEX('hp (pSv cm2)'!$A$2:$A$52,MATCH($C514,'hp (pSv cm2)'!$A$2:$A$52,1))),$C514*'hp (pSv cm2)'!$B$2/'hp (pSv cm2)'!$A$2)</f>
        <v>3.0075799999999999</v>
      </c>
      <c r="G514" s="67">
        <f t="shared" si="38"/>
        <v>7.2181919999999989E-5</v>
      </c>
      <c r="H514" s="83">
        <f>_xlfn.IFNA(0.997*(INDEX('Mass attenuation coefficients'!$B$2:$B$37,MATCH($C514,'Mass attenuation coefficients'!$A$2:$A$37,1))+($C514-INDEX('Mass attenuation coefficients'!$A$2:$A$37,MATCH($C514,'Mass attenuation coefficients'!$A$2:$A$37,1)))*(INDEX('Mass attenuation coefficients'!$B$2:$B$37,MATCH($C514,'Mass attenuation coefficients'!$A$2:$A$37,1)+1)-INDEX('Mass attenuation coefficients'!$B$2:$B$37,MATCH($C514,'Mass attenuation coefficients'!$A$2:$A$37,1)))/(INDEX('Mass attenuation coefficients'!$A$2:$A$37,MATCH($C514,'Mass attenuation coefficients'!$A$2:$A$37,1)+1)-INDEX('Mass attenuation coefficients'!$A$2:$A$37,MATCH($C514,'Mass attenuation coefficients'!$A$2:$A$37,1)))),0.997*$C514*'Mass attenuation coefficients'!$B$2/'Mass attenuation coefficients'!$A$2)</f>
        <v>8.7996924870000007E-2</v>
      </c>
      <c r="I514" s="83">
        <f>_xlfn.IFNA(INDEX('Shultis Faw'!$C$2:$C$26,MATCH($C514,'Shultis Faw'!$A$2:$A$26,1))+($C514-INDEX('Shultis Faw'!$A$2:$A$26,MATCH($C514,'Shultis Faw'!$A$2:$A$26,1)))*(INDEX('Shultis Faw'!$C$2:$C$26,MATCH($C514,'Shultis Faw'!$A$2:$A$26,1)+1)-INDEX('Shultis Faw'!$C$2:$C$26,MATCH($C514,'Shultis Faw'!$A$2:$A$26,1)))/(INDEX('Shultis Faw'!$A$2:$A$26,MATCH($C514,'Shultis Faw'!$A$2:$A$26,1)+1)-INDEX('Shultis Faw'!$A$2:$A$26,MATCH($C514,'Shultis Faw'!$A$2:$A$26,1))),$C514*'Shultis Faw'!$C$2/'Shultis Faw'!$A$2)</f>
        <v>2.3573649999999997</v>
      </c>
      <c r="J514" s="83">
        <f>_xlfn.IFNA(INDEX('Shultis Faw'!$D$2:$D$26,MATCH($C514,'Shultis Faw'!$A$2:$A$26,1))+($C514-INDEX('Shultis Faw'!$A$2:$A$26,MATCH($C514,'Shultis Faw'!$A$2:$A$26,1)))*(INDEX('Shultis Faw'!$D$2:$D$26,MATCH($C514,'Shultis Faw'!$A$2:$A$26,1)+1)-INDEX('Shultis Faw'!$D$2:$D$26,MATCH($C514,'Shultis Faw'!$A$2:$A$26,1)))/(INDEX('Shultis Faw'!$A$2:$A$26,MATCH($C514,'Shultis Faw'!$A$2:$A$26,1)+1)-INDEX('Shultis Faw'!$A$2:$A$26,MATCH($C514,'Shultis Faw'!$A$2:$A$26,1))),$C514*'Shultis Faw'!$D$2/'Shultis Faw'!$A$2)</f>
        <v>1.6629350000000001</v>
      </c>
      <c r="K514" s="83">
        <f>_xlfn.IFNA(INDEX('Shultis Faw'!$B$2:$B$26,MATCH($C514,'Shultis Faw'!$A$2:$A$26,1))+($C514-INDEX('Shultis Faw'!$A$2:$A$26,MATCH($C514,'Shultis Faw'!$A$2:$A$26,1)))*(INDEX('Shultis Faw'!$B$2:$B$26,MATCH($C514,'Shultis Faw'!$A$2:$A$26,1)+1)-INDEX('Shultis Faw'!$B$2:$B$26,MATCH($C514,'Shultis Faw'!$A$2:$A$26,1)))/(INDEX('Shultis Faw'!$A$2:$A$26,MATCH($C514,'Shultis Faw'!$A$2:$A$26,1)+1)-INDEX('Shultis Faw'!$A$2:$A$26,MATCH($C514,'Shultis Faw'!$A$2:$A$26,1))),$C514*'Shultis Faw'!$B$2/'Shultis Faw'!$A$2)</f>
        <v>-0.121739</v>
      </c>
      <c r="L514" s="83">
        <f>_xlfn.IFNA(INDEX('Shultis Faw'!$E$2:$E$26,MATCH($C514,'Shultis Faw'!$A$2:$A$26,1))+($C514-INDEX('Shultis Faw'!$A$2:$A$26,MATCH($C514,'Shultis Faw'!$A$2:$A$26,1)))*(INDEX('Shultis Faw'!$E$2:$E$26,MATCH($C514,'Shultis Faw'!$A$2:$A$26,1)+1)-INDEX('Shultis Faw'!$E$2:$E$26,MATCH($C514,'Shultis Faw'!$A$2:$A$26,1)))/(INDEX('Shultis Faw'!$A$2:$A$26,MATCH($C514,'Shultis Faw'!$A$2:$A$26,1)+1)-INDEX('Shultis Faw'!$A$2:$A$26,MATCH($C514,'Shultis Faw'!$A$2:$A$26,1))),$C514*'Shultis Faw'!$E$2/'Shultis Faw'!$A$2)</f>
        <v>4.9514599999999999E-2</v>
      </c>
      <c r="M514" s="83">
        <f>_xlfn.IFNA(INDEX('Shultis Faw'!$F$2:$F$26,MATCH($C514,'Shultis Faw'!$A$2:$A$26,1))+($C514-INDEX('Shultis Faw'!$A$2:$A$26,MATCH($C514,'Shultis Faw'!$A$2:$A$26,1)))*(INDEX('Shultis Faw'!$F$2:$F$26,MATCH($C514,'Shultis Faw'!$A$2:$A$26,1)+1)-INDEX('Shultis Faw'!$F$2:$F$26,MATCH($C514,'Shultis Faw'!$A$2:$A$26,1)))/(INDEX('Shultis Faw'!$A$2:$A$26,MATCH($C514,'Shultis Faw'!$A$2:$A$26,1)+1)-INDEX('Shultis Faw'!$A$2:$A$26,MATCH($C514,'Shultis Faw'!$A$2:$A$26,1))),$C514*'Shultis Faw'!$F$2/'Shultis Faw'!$A$2)</f>
        <v>14.245470000000001</v>
      </c>
      <c r="N514" s="83">
        <f>J514*(H514*'Externe blootstelling'!$D$23/2)^K514+L514*(TANH(((H514*'Externe blootstelling'!$D$23)/(2*M514))-2)-TANH(-2))/(1-TANH(-2))</f>
        <v>1.607856819327149</v>
      </c>
      <c r="O514" s="83">
        <f>IF(N514=1,1+(I514-1)*H514*'Externe blootstelling'!$D$23/2,1+(I514-1)*(N514^(H514*'Externe blootstelling'!$D$23/2)-1)/(N514-1))</f>
        <v>2.946543295225303</v>
      </c>
      <c r="P514" s="67">
        <f>G514*EXP(-H514*'Externe blootstelling'!$D$23/2)*O514</f>
        <v>5.6818867504581872E-5</v>
      </c>
      <c r="Q514" s="68"/>
    </row>
    <row r="515" spans="1:17" x14ac:dyDescent="0.2">
      <c r="A515" s="217"/>
      <c r="B515" s="64" t="s">
        <v>104</v>
      </c>
      <c r="C515" s="66">
        <v>0.63298100000000002</v>
      </c>
      <c r="D515" s="66">
        <f t="shared" si="37"/>
        <v>1.0127695999999999E-13</v>
      </c>
      <c r="E515" s="66">
        <v>1.2800000000000001E-2</v>
      </c>
      <c r="F515" s="66">
        <f>_xlfn.IFNA(INDEX('hp (pSv cm2)'!$B$2:$B$52,MATCH($C515,'hp (pSv cm2)'!$A$2:$A$52,1))+($C515-INDEX('hp (pSv cm2)'!$A$2:$A$52,MATCH($C515,'hp (pSv cm2)'!$A$2:$A$52,1)))*(INDEX('hp (pSv cm2)'!$B$2:$B$52,MATCH($C515,'hp (pSv cm2)'!$A$2:$A$52,1)+1)-INDEX('hp (pSv cm2)'!$B$2:$B$52,MATCH($C515,'hp (pSv cm2)'!$A$2:$A$52,1)))/(INDEX('hp (pSv cm2)'!$A$2:$A$52,MATCH($C515,'hp (pSv cm2)'!$A$2:$A$52,1)+1)-INDEX('hp (pSv cm2)'!$A$2:$A$52,MATCH($C515,'hp (pSv cm2)'!$A$2:$A$52,1))),$C515*'hp (pSv cm2)'!$B$2/'hp (pSv cm2)'!$A$2)</f>
        <v>3.0452221000000002</v>
      </c>
      <c r="G515" s="67">
        <f t="shared" si="38"/>
        <v>3.8978842880000003E-2</v>
      </c>
      <c r="H515" s="83">
        <f>_xlfn.IFNA(0.997*(INDEX('Mass attenuation coefficients'!$B$2:$B$37,MATCH($C515,'Mass attenuation coefficients'!$A$2:$A$37,1))+($C515-INDEX('Mass attenuation coefficients'!$A$2:$A$37,MATCH($C515,'Mass attenuation coefficients'!$A$2:$A$37,1)))*(INDEX('Mass attenuation coefficients'!$B$2:$B$37,MATCH($C515,'Mass attenuation coefficients'!$A$2:$A$37,1)+1)-INDEX('Mass attenuation coefficients'!$B$2:$B$37,MATCH($C515,'Mass attenuation coefficients'!$A$2:$A$37,1)))/(INDEX('Mass attenuation coefficients'!$A$2:$A$37,MATCH($C515,'Mass attenuation coefficients'!$A$2:$A$37,1)+1)-INDEX('Mass attenuation coefficients'!$A$2:$A$37,MATCH($C515,'Mass attenuation coefficients'!$A$2:$A$37,1)))),0.997*$C515*'Mass attenuation coefficients'!$B$2/'Mass attenuation coefficients'!$A$2)</f>
        <v>8.7497603790649997E-2</v>
      </c>
      <c r="I515" s="83">
        <f>_xlfn.IFNA(INDEX('Shultis Faw'!$C$2:$C$26,MATCH($C515,'Shultis Faw'!$A$2:$A$26,1))+($C515-INDEX('Shultis Faw'!$A$2:$A$26,MATCH($C515,'Shultis Faw'!$A$2:$A$26,1)))*(INDEX('Shultis Faw'!$C$2:$C$26,MATCH($C515,'Shultis Faw'!$A$2:$A$26,1)+1)-INDEX('Shultis Faw'!$C$2:$C$26,MATCH($C515,'Shultis Faw'!$A$2:$A$26,1)))/(INDEX('Shultis Faw'!$A$2:$A$26,MATCH($C515,'Shultis Faw'!$A$2:$A$26,1)+1)-INDEX('Shultis Faw'!$A$2:$A$26,MATCH($C515,'Shultis Faw'!$A$2:$A$26,1))),$C515*'Shultis Faw'!$C$2/'Shultis Faw'!$A$2)</f>
        <v>2.3497906749999999</v>
      </c>
      <c r="J515" s="83">
        <f>_xlfn.IFNA(INDEX('Shultis Faw'!$D$2:$D$26,MATCH($C515,'Shultis Faw'!$A$2:$A$26,1))+($C515-INDEX('Shultis Faw'!$A$2:$A$26,MATCH($C515,'Shultis Faw'!$A$2:$A$26,1)))*(INDEX('Shultis Faw'!$D$2:$D$26,MATCH($C515,'Shultis Faw'!$A$2:$A$26,1)+1)-INDEX('Shultis Faw'!$D$2:$D$26,MATCH($C515,'Shultis Faw'!$A$2:$A$26,1)))/(INDEX('Shultis Faw'!$A$2:$A$26,MATCH($C515,'Shultis Faw'!$A$2:$A$26,1)+1)-INDEX('Shultis Faw'!$A$2:$A$26,MATCH($C515,'Shultis Faw'!$A$2:$A$26,1))),$C515*'Shultis Faw'!$D$2/'Shultis Faw'!$A$2)</f>
        <v>1.656737825</v>
      </c>
      <c r="K515" s="83">
        <f>_xlfn.IFNA(INDEX('Shultis Faw'!$B$2:$B$26,MATCH($C515,'Shultis Faw'!$A$2:$A$26,1))+($C515-INDEX('Shultis Faw'!$A$2:$A$26,MATCH($C515,'Shultis Faw'!$A$2:$A$26,1)))*(INDEX('Shultis Faw'!$B$2:$B$26,MATCH($C515,'Shultis Faw'!$A$2:$A$26,1)+1)-INDEX('Shultis Faw'!$B$2:$B$26,MATCH($C515,'Shultis Faw'!$A$2:$A$26,1)))/(INDEX('Shultis Faw'!$A$2:$A$26,MATCH($C515,'Shultis Faw'!$A$2:$A$26,1)+1)-INDEX('Shultis Faw'!$A$2:$A$26,MATCH($C515,'Shultis Faw'!$A$2:$A$26,1))),$C515*'Shultis Faw'!$B$2/'Shultis Faw'!$A$2)</f>
        <v>-0.12086680499999999</v>
      </c>
      <c r="L515" s="83">
        <f>_xlfn.IFNA(INDEX('Shultis Faw'!$E$2:$E$26,MATCH($C515,'Shultis Faw'!$A$2:$A$26,1))+($C515-INDEX('Shultis Faw'!$A$2:$A$26,MATCH($C515,'Shultis Faw'!$A$2:$A$26,1)))*(INDEX('Shultis Faw'!$E$2:$E$26,MATCH($C515,'Shultis Faw'!$A$2:$A$26,1)+1)-INDEX('Shultis Faw'!$E$2:$E$26,MATCH($C515,'Shultis Faw'!$A$2:$A$26,1)))/(INDEX('Shultis Faw'!$A$2:$A$26,MATCH($C515,'Shultis Faw'!$A$2:$A$26,1)+1)-INDEX('Shultis Faw'!$A$2:$A$26,MATCH($C515,'Shultis Faw'!$A$2:$A$26,1))),$C515*'Shultis Faw'!$E$2/'Shultis Faw'!$A$2)</f>
        <v>4.9211627000000001E-2</v>
      </c>
      <c r="M515" s="83">
        <f>_xlfn.IFNA(INDEX('Shultis Faw'!$F$2:$F$26,MATCH($C515,'Shultis Faw'!$A$2:$A$26,1))+($C515-INDEX('Shultis Faw'!$A$2:$A$26,MATCH($C515,'Shultis Faw'!$A$2:$A$26,1)))*(INDEX('Shultis Faw'!$F$2:$F$26,MATCH($C515,'Shultis Faw'!$A$2:$A$26,1)+1)-INDEX('Shultis Faw'!$F$2:$F$26,MATCH($C515,'Shultis Faw'!$A$2:$A$26,1)))/(INDEX('Shultis Faw'!$A$2:$A$26,MATCH($C515,'Shultis Faw'!$A$2:$A$26,1)+1)-INDEX('Shultis Faw'!$A$2:$A$26,MATCH($C515,'Shultis Faw'!$A$2:$A$26,1))),$C515*'Shultis Faw'!$F$2/'Shultis Faw'!$A$2)</f>
        <v>14.25143765</v>
      </c>
      <c r="N515" s="83">
        <f>J515*(H515*'Externe blootstelling'!$D$23/2)^K515+L515*(TANH(((H515*'Externe blootstelling'!$D$23)/(2*M515))-2)-TANH(-2))/(1-TANH(-2))</f>
        <v>1.6033533859805362</v>
      </c>
      <c r="O515" s="83">
        <f>IF(N515=1,1+(I515-1)*H515*'Externe blootstelling'!$D$23/2,1+(I515-1)*(N515^(H515*'Externe blootstelling'!$D$23/2)-1)/(N515-1))</f>
        <v>2.9199304463333147</v>
      </c>
      <c r="P515" s="67">
        <f>G515*EXP(-H515*'Externe blootstelling'!$D$23/2)*O515</f>
        <v>3.0634130036020696E-2</v>
      </c>
      <c r="Q515" s="68"/>
    </row>
    <row r="516" spans="1:17" x14ac:dyDescent="0.2">
      <c r="A516" s="217"/>
      <c r="B516" s="64" t="s">
        <v>104</v>
      </c>
      <c r="C516" s="66">
        <v>0.63497999999999999</v>
      </c>
      <c r="D516" s="66">
        <f t="shared" si="37"/>
        <v>1.015968E-13</v>
      </c>
      <c r="E516" s="66">
        <v>1.48E-3</v>
      </c>
      <c r="F516" s="66">
        <f>_xlfn.IFNA(INDEX('hp (pSv cm2)'!$B$2:$B$52,MATCH($C516,'hp (pSv cm2)'!$A$2:$A$52,1))+($C516-INDEX('hp (pSv cm2)'!$A$2:$A$52,MATCH($C516,'hp (pSv cm2)'!$A$2:$A$52,1)))*(INDEX('hp (pSv cm2)'!$B$2:$B$52,MATCH($C516,'hp (pSv cm2)'!$A$2:$A$52,1)+1)-INDEX('hp (pSv cm2)'!$B$2:$B$52,MATCH($C516,'hp (pSv cm2)'!$A$2:$A$52,1)))/(INDEX('hp (pSv cm2)'!$A$2:$A$52,MATCH($C516,'hp (pSv cm2)'!$A$2:$A$52,1)+1)-INDEX('hp (pSv cm2)'!$A$2:$A$52,MATCH($C516,'hp (pSv cm2)'!$A$2:$A$52,1))),$C516*'hp (pSv cm2)'!$B$2/'hp (pSv cm2)'!$A$2)</f>
        <v>3.0534180000000002</v>
      </c>
      <c r="G516" s="67">
        <f t="shared" si="38"/>
        <v>4.5190586400000003E-3</v>
      </c>
      <c r="H516" s="83">
        <f>_xlfn.IFNA(0.997*(INDEX('Mass attenuation coefficients'!$B$2:$B$37,MATCH($C516,'Mass attenuation coefficients'!$A$2:$A$37,1))+($C516-INDEX('Mass attenuation coefficients'!$A$2:$A$37,MATCH($C516,'Mass attenuation coefficients'!$A$2:$A$37,1)))*(INDEX('Mass attenuation coefficients'!$B$2:$B$37,MATCH($C516,'Mass attenuation coefficients'!$A$2:$A$37,1)+1)-INDEX('Mass attenuation coefficients'!$B$2:$B$37,MATCH($C516,'Mass attenuation coefficients'!$A$2:$A$37,1)))/(INDEX('Mass attenuation coefficients'!$A$2:$A$37,MATCH($C516,'Mass attenuation coefficients'!$A$2:$A$37,1)+1)-INDEX('Mass attenuation coefficients'!$A$2:$A$37,MATCH($C516,'Mass attenuation coefficients'!$A$2:$A$37,1)))),0.997*$C516*'Mass attenuation coefficients'!$B$2/'Mass attenuation coefficients'!$A$2)</f>
        <v>8.7388885476999995E-2</v>
      </c>
      <c r="I516" s="83">
        <f>_xlfn.IFNA(INDEX('Shultis Faw'!$C$2:$C$26,MATCH($C516,'Shultis Faw'!$A$2:$A$26,1))+($C516-INDEX('Shultis Faw'!$A$2:$A$26,MATCH($C516,'Shultis Faw'!$A$2:$A$26,1)))*(INDEX('Shultis Faw'!$C$2:$C$26,MATCH($C516,'Shultis Faw'!$A$2:$A$26,1)+1)-INDEX('Shultis Faw'!$C$2:$C$26,MATCH($C516,'Shultis Faw'!$A$2:$A$26,1)))/(INDEX('Shultis Faw'!$A$2:$A$26,MATCH($C516,'Shultis Faw'!$A$2:$A$26,1)+1)-INDEX('Shultis Faw'!$A$2:$A$26,MATCH($C516,'Shultis Faw'!$A$2:$A$26,1))),$C516*'Shultis Faw'!$C$2/'Shultis Faw'!$A$2)</f>
        <v>2.3481414999999997</v>
      </c>
      <c r="J516" s="83">
        <f>_xlfn.IFNA(INDEX('Shultis Faw'!$D$2:$D$26,MATCH($C516,'Shultis Faw'!$A$2:$A$26,1))+($C516-INDEX('Shultis Faw'!$A$2:$A$26,MATCH($C516,'Shultis Faw'!$A$2:$A$26,1)))*(INDEX('Shultis Faw'!$D$2:$D$26,MATCH($C516,'Shultis Faw'!$A$2:$A$26,1)+1)-INDEX('Shultis Faw'!$D$2:$D$26,MATCH($C516,'Shultis Faw'!$A$2:$A$26,1)))/(INDEX('Shultis Faw'!$A$2:$A$26,MATCH($C516,'Shultis Faw'!$A$2:$A$26,1)+1)-INDEX('Shultis Faw'!$A$2:$A$26,MATCH($C516,'Shultis Faw'!$A$2:$A$26,1))),$C516*'Shultis Faw'!$D$2/'Shultis Faw'!$A$2)</f>
        <v>1.6553885000000002</v>
      </c>
      <c r="K516" s="83">
        <f>_xlfn.IFNA(INDEX('Shultis Faw'!$B$2:$B$26,MATCH($C516,'Shultis Faw'!$A$2:$A$26,1))+($C516-INDEX('Shultis Faw'!$A$2:$A$26,MATCH($C516,'Shultis Faw'!$A$2:$A$26,1)))*(INDEX('Shultis Faw'!$B$2:$B$26,MATCH($C516,'Shultis Faw'!$A$2:$A$26,1)+1)-INDEX('Shultis Faw'!$B$2:$B$26,MATCH($C516,'Shultis Faw'!$A$2:$A$26,1)))/(INDEX('Shultis Faw'!$A$2:$A$26,MATCH($C516,'Shultis Faw'!$A$2:$A$26,1)+1)-INDEX('Shultis Faw'!$A$2:$A$26,MATCH($C516,'Shultis Faw'!$A$2:$A$26,1))),$C516*'Shultis Faw'!$B$2/'Shultis Faw'!$A$2)</f>
        <v>-0.1206769</v>
      </c>
      <c r="L516" s="83">
        <f>_xlfn.IFNA(INDEX('Shultis Faw'!$E$2:$E$26,MATCH($C516,'Shultis Faw'!$A$2:$A$26,1))+($C516-INDEX('Shultis Faw'!$A$2:$A$26,MATCH($C516,'Shultis Faw'!$A$2:$A$26,1)))*(INDEX('Shultis Faw'!$E$2:$E$26,MATCH($C516,'Shultis Faw'!$A$2:$A$26,1)+1)-INDEX('Shultis Faw'!$E$2:$E$26,MATCH($C516,'Shultis Faw'!$A$2:$A$26,1)))/(INDEX('Shultis Faw'!$A$2:$A$26,MATCH($C516,'Shultis Faw'!$A$2:$A$26,1)+1)-INDEX('Shultis Faw'!$A$2:$A$26,MATCH($C516,'Shultis Faw'!$A$2:$A$26,1))),$C516*'Shultis Faw'!$E$2/'Shultis Faw'!$A$2)</f>
        <v>4.9145660000000001E-2</v>
      </c>
      <c r="M516" s="83">
        <f>_xlfn.IFNA(INDEX('Shultis Faw'!$F$2:$F$26,MATCH($C516,'Shultis Faw'!$A$2:$A$26,1))+($C516-INDEX('Shultis Faw'!$A$2:$A$26,MATCH($C516,'Shultis Faw'!$A$2:$A$26,1)))*(INDEX('Shultis Faw'!$F$2:$F$26,MATCH($C516,'Shultis Faw'!$A$2:$A$26,1)+1)-INDEX('Shultis Faw'!$F$2:$F$26,MATCH($C516,'Shultis Faw'!$A$2:$A$26,1)))/(INDEX('Shultis Faw'!$A$2:$A$26,MATCH($C516,'Shultis Faw'!$A$2:$A$26,1)+1)-INDEX('Shultis Faw'!$A$2:$A$26,MATCH($C516,'Shultis Faw'!$A$2:$A$26,1))),$C516*'Shultis Faw'!$F$2/'Shultis Faw'!$A$2)</f>
        <v>14.252737</v>
      </c>
      <c r="N516" s="83">
        <f>J516*(H516*'Externe blootstelling'!$D$23/2)^K516+L516*(TANH(((H516*'Externe blootstelling'!$D$23)/(2*M516))-2)-TANH(-2))/(1-TANH(-2))</f>
        <v>1.6023702750594202</v>
      </c>
      <c r="O516" s="83">
        <f>IF(N516=1,1+(I516-1)*H516*'Externe blootstelling'!$D$23/2,1+(I516-1)*(N516^(H516*'Externe blootstelling'!$D$23/2)-1)/(N516-1))</f>
        <v>2.9141740412521022</v>
      </c>
      <c r="P516" s="67">
        <f>G516*EXP(-H516*'Externe blootstelling'!$D$23/2)*O516</f>
        <v>3.5503878690083682E-3</v>
      </c>
      <c r="Q516" s="68"/>
    </row>
    <row r="517" spans="1:17" x14ac:dyDescent="0.2">
      <c r="A517" s="217"/>
      <c r="B517" s="64" t="s">
        <v>104</v>
      </c>
      <c r="C517" s="66">
        <v>0.67253499999999999</v>
      </c>
      <c r="D517" s="66">
        <f t="shared" si="37"/>
        <v>1.0760559999999999E-13</v>
      </c>
      <c r="E517" s="66">
        <v>1.1200000000000001E-3</v>
      </c>
      <c r="F517" s="66">
        <f>_xlfn.IFNA(INDEX('hp (pSv cm2)'!$B$2:$B$52,MATCH($C517,'hp (pSv cm2)'!$A$2:$A$52,1))+($C517-INDEX('hp (pSv cm2)'!$A$2:$A$52,MATCH($C517,'hp (pSv cm2)'!$A$2:$A$52,1)))*(INDEX('hp (pSv cm2)'!$B$2:$B$52,MATCH($C517,'hp (pSv cm2)'!$A$2:$A$52,1)+1)-INDEX('hp (pSv cm2)'!$B$2:$B$52,MATCH($C517,'hp (pSv cm2)'!$A$2:$A$52,1)))/(INDEX('hp (pSv cm2)'!$A$2:$A$52,MATCH($C517,'hp (pSv cm2)'!$A$2:$A$52,1)+1)-INDEX('hp (pSv cm2)'!$A$2:$A$52,MATCH($C517,'hp (pSv cm2)'!$A$2:$A$52,1))),$C517*'hp (pSv cm2)'!$B$2/'hp (pSv cm2)'!$A$2)</f>
        <v>3.2073935000000002</v>
      </c>
      <c r="G517" s="67">
        <f t="shared" si="38"/>
        <v>3.5922807200000008E-3</v>
      </c>
      <c r="H517" s="83">
        <f>_xlfn.IFNA(0.997*(INDEX('Mass attenuation coefficients'!$B$2:$B$37,MATCH($C517,'Mass attenuation coefficients'!$A$2:$A$37,1))+($C517-INDEX('Mass attenuation coefficients'!$A$2:$A$37,MATCH($C517,'Mass attenuation coefficients'!$A$2:$A$37,1)))*(INDEX('Mass attenuation coefficients'!$B$2:$B$37,MATCH($C517,'Mass attenuation coefficients'!$A$2:$A$37,1)+1)-INDEX('Mass attenuation coefficients'!$B$2:$B$37,MATCH($C517,'Mass attenuation coefficients'!$A$2:$A$37,1)))/(INDEX('Mass attenuation coefficients'!$A$2:$A$37,MATCH($C517,'Mass attenuation coefficients'!$A$2:$A$37,1)+1)-INDEX('Mass attenuation coefficients'!$A$2:$A$37,MATCH($C517,'Mass attenuation coefficients'!$A$2:$A$37,1)))),0.997*$C517*'Mass attenuation coefficients'!$B$2/'Mass attenuation coefficients'!$A$2)</f>
        <v>8.5346406102750003E-2</v>
      </c>
      <c r="I517" s="83">
        <f>_xlfn.IFNA(INDEX('Shultis Faw'!$C$2:$C$26,MATCH($C517,'Shultis Faw'!$A$2:$A$26,1))+($C517-INDEX('Shultis Faw'!$A$2:$A$26,MATCH($C517,'Shultis Faw'!$A$2:$A$26,1)))*(INDEX('Shultis Faw'!$C$2:$C$26,MATCH($C517,'Shultis Faw'!$A$2:$A$26,1)+1)-INDEX('Shultis Faw'!$C$2:$C$26,MATCH($C517,'Shultis Faw'!$A$2:$A$26,1)))/(INDEX('Shultis Faw'!$A$2:$A$26,MATCH($C517,'Shultis Faw'!$A$2:$A$26,1)+1)-INDEX('Shultis Faw'!$A$2:$A$26,MATCH($C517,'Shultis Faw'!$A$2:$A$26,1))),$C517*'Shultis Faw'!$C$2/'Shultis Faw'!$A$2)</f>
        <v>2.3171586249999998</v>
      </c>
      <c r="J517" s="83">
        <f>_xlfn.IFNA(INDEX('Shultis Faw'!$D$2:$D$26,MATCH($C517,'Shultis Faw'!$A$2:$A$26,1))+($C517-INDEX('Shultis Faw'!$A$2:$A$26,MATCH($C517,'Shultis Faw'!$A$2:$A$26,1)))*(INDEX('Shultis Faw'!$D$2:$D$26,MATCH($C517,'Shultis Faw'!$A$2:$A$26,1)+1)-INDEX('Shultis Faw'!$D$2:$D$26,MATCH($C517,'Shultis Faw'!$A$2:$A$26,1)))/(INDEX('Shultis Faw'!$A$2:$A$26,MATCH($C517,'Shultis Faw'!$A$2:$A$26,1)+1)-INDEX('Shultis Faw'!$A$2:$A$26,MATCH($C517,'Shultis Faw'!$A$2:$A$26,1))),$C517*'Shultis Faw'!$D$2/'Shultis Faw'!$A$2)</f>
        <v>1.6300388750000001</v>
      </c>
      <c r="K517" s="83">
        <f>_xlfn.IFNA(INDEX('Shultis Faw'!$B$2:$B$26,MATCH($C517,'Shultis Faw'!$A$2:$A$26,1))+($C517-INDEX('Shultis Faw'!$A$2:$A$26,MATCH($C517,'Shultis Faw'!$A$2:$A$26,1)))*(INDEX('Shultis Faw'!$B$2:$B$26,MATCH($C517,'Shultis Faw'!$A$2:$A$26,1)+1)-INDEX('Shultis Faw'!$B$2:$B$26,MATCH($C517,'Shultis Faw'!$A$2:$A$26,1)))/(INDEX('Shultis Faw'!$A$2:$A$26,MATCH($C517,'Shultis Faw'!$A$2:$A$26,1)+1)-INDEX('Shultis Faw'!$A$2:$A$26,MATCH($C517,'Shultis Faw'!$A$2:$A$26,1))),$C517*'Shultis Faw'!$B$2/'Shultis Faw'!$A$2)</f>
        <v>-0.117109175</v>
      </c>
      <c r="L517" s="83">
        <f>_xlfn.IFNA(INDEX('Shultis Faw'!$E$2:$E$26,MATCH($C517,'Shultis Faw'!$A$2:$A$26,1))+($C517-INDEX('Shultis Faw'!$A$2:$A$26,MATCH($C517,'Shultis Faw'!$A$2:$A$26,1)))*(INDEX('Shultis Faw'!$E$2:$E$26,MATCH($C517,'Shultis Faw'!$A$2:$A$26,1)+1)-INDEX('Shultis Faw'!$E$2:$E$26,MATCH($C517,'Shultis Faw'!$A$2:$A$26,1)))/(INDEX('Shultis Faw'!$A$2:$A$26,MATCH($C517,'Shultis Faw'!$A$2:$A$26,1)+1)-INDEX('Shultis Faw'!$A$2:$A$26,MATCH($C517,'Shultis Faw'!$A$2:$A$26,1))),$C517*'Shultis Faw'!$E$2/'Shultis Faw'!$A$2)</f>
        <v>4.7906345000000003E-2</v>
      </c>
      <c r="M517" s="83">
        <f>_xlfn.IFNA(INDEX('Shultis Faw'!$F$2:$F$26,MATCH($C517,'Shultis Faw'!$A$2:$A$26,1))+($C517-INDEX('Shultis Faw'!$A$2:$A$26,MATCH($C517,'Shultis Faw'!$A$2:$A$26,1)))*(INDEX('Shultis Faw'!$F$2:$F$26,MATCH($C517,'Shultis Faw'!$A$2:$A$26,1)+1)-INDEX('Shultis Faw'!$F$2:$F$26,MATCH($C517,'Shultis Faw'!$A$2:$A$26,1)))/(INDEX('Shultis Faw'!$A$2:$A$26,MATCH($C517,'Shultis Faw'!$A$2:$A$26,1)+1)-INDEX('Shultis Faw'!$A$2:$A$26,MATCH($C517,'Shultis Faw'!$A$2:$A$26,1))),$C517*'Shultis Faw'!$F$2/'Shultis Faw'!$A$2)</f>
        <v>14.277147749999999</v>
      </c>
      <c r="N517" s="83">
        <f>J517*(H517*'Externe blootstelling'!$D$23/2)^K517+L517*(TANH(((H517*'Externe blootstelling'!$D$23)/(2*M517))-2)-TANH(-2))/(1-TANH(-2))</f>
        <v>1.583730025635024</v>
      </c>
      <c r="O517" s="83">
        <f>IF(N517=1,1+(I517-1)*H517*'Externe blootstelling'!$D$23/2,1+(I517-1)*(N517^(H517*'Externe blootstelling'!$D$23/2)-1)/(N517-1))</f>
        <v>2.8085157521125272</v>
      </c>
      <c r="P517" s="67">
        <f>G517*EXP(-H517*'Externe blootstelling'!$D$23/2)*O517</f>
        <v>2.8045619213205352E-3</v>
      </c>
      <c r="Q517" s="68"/>
    </row>
    <row r="518" spans="1:17" x14ac:dyDescent="0.2">
      <c r="A518" s="217"/>
      <c r="B518" s="64" t="s">
        <v>104</v>
      </c>
      <c r="C518" s="66">
        <v>0.81049000000000004</v>
      </c>
      <c r="D518" s="66">
        <f t="shared" si="37"/>
        <v>1.2967839999999999E-13</v>
      </c>
      <c r="E518" s="66">
        <v>9.2E-6</v>
      </c>
      <c r="F518" s="66">
        <f>_xlfn.IFNA(INDEX('hp (pSv cm2)'!$B$2:$B$52,MATCH($C518,'hp (pSv cm2)'!$A$2:$A$52,1))+($C518-INDEX('hp (pSv cm2)'!$A$2:$A$52,MATCH($C518,'hp (pSv cm2)'!$A$2:$A$52,1)))*(INDEX('hp (pSv cm2)'!$B$2:$B$52,MATCH($C518,'hp (pSv cm2)'!$A$2:$A$52,1)+1)-INDEX('hp (pSv cm2)'!$B$2:$B$52,MATCH($C518,'hp (pSv cm2)'!$A$2:$A$52,1)))/(INDEX('hp (pSv cm2)'!$A$2:$A$52,MATCH($C518,'hp (pSv cm2)'!$A$2:$A$52,1)+1)-INDEX('hp (pSv cm2)'!$A$2:$A$52,MATCH($C518,'hp (pSv cm2)'!$A$2:$A$52,1))),$C518*'hp (pSv cm2)'!$B$2/'hp (pSv cm2)'!$A$2)</f>
        <v>3.7698619999999998</v>
      </c>
      <c r="G518" s="67">
        <f t="shared" si="38"/>
        <v>3.4682730400000001E-5</v>
      </c>
      <c r="H518" s="83">
        <f>_xlfn.IFNA(0.997*(INDEX('Mass attenuation coefficients'!$B$2:$B$37,MATCH($C518,'Mass attenuation coefficients'!$A$2:$A$37,1))+($C518-INDEX('Mass attenuation coefficients'!$A$2:$A$37,MATCH($C518,'Mass attenuation coefficients'!$A$2:$A$37,1)))*(INDEX('Mass attenuation coefficients'!$B$2:$B$37,MATCH($C518,'Mass attenuation coefficients'!$A$2:$A$37,1)+1)-INDEX('Mass attenuation coefficients'!$B$2:$B$37,MATCH($C518,'Mass attenuation coefficients'!$A$2:$A$37,1)))/(INDEX('Mass attenuation coefficients'!$A$2:$A$37,MATCH($C518,'Mass attenuation coefficients'!$A$2:$A$37,1)+1)-INDEX('Mass attenuation coefficients'!$A$2:$A$37,MATCH($C518,'Mass attenuation coefficients'!$A$2:$A$37,1)))),0.997*$C518*'Mass attenuation coefficients'!$B$2/'Mass attenuation coefficients'!$A$2)</f>
        <v>7.7999369285499998E-2</v>
      </c>
      <c r="I518" s="83">
        <f>_xlfn.IFNA(INDEX('Shultis Faw'!$C$2:$C$26,MATCH($C518,'Shultis Faw'!$A$2:$A$26,1))+($C518-INDEX('Shultis Faw'!$A$2:$A$26,MATCH($C518,'Shultis Faw'!$A$2:$A$26,1)))*(INDEX('Shultis Faw'!$C$2:$C$26,MATCH($C518,'Shultis Faw'!$A$2:$A$26,1)+1)-INDEX('Shultis Faw'!$C$2:$C$26,MATCH($C518,'Shultis Faw'!$A$2:$A$26,1)))/(INDEX('Shultis Faw'!$A$2:$A$26,MATCH($C518,'Shultis Faw'!$A$2:$A$26,1)+1)-INDEX('Shultis Faw'!$A$2:$A$26,MATCH($C518,'Shultis Faw'!$A$2:$A$26,1))),$C518*'Shultis Faw'!$C$2/'Shultis Faw'!$A$2)</f>
        <v>2.2062829500000003</v>
      </c>
      <c r="J518" s="83">
        <f>_xlfn.IFNA(INDEX('Shultis Faw'!$D$2:$D$26,MATCH($C518,'Shultis Faw'!$A$2:$A$26,1))+($C518-INDEX('Shultis Faw'!$A$2:$A$26,MATCH($C518,'Shultis Faw'!$A$2:$A$26,1)))*(INDEX('Shultis Faw'!$D$2:$D$26,MATCH($C518,'Shultis Faw'!$A$2:$A$26,1)+1)-INDEX('Shultis Faw'!$D$2:$D$26,MATCH($C518,'Shultis Faw'!$A$2:$A$26,1)))/(INDEX('Shultis Faw'!$A$2:$A$26,MATCH($C518,'Shultis Faw'!$A$2:$A$26,1)+1)-INDEX('Shultis Faw'!$A$2:$A$26,MATCH($C518,'Shultis Faw'!$A$2:$A$26,1))),$C518*'Shultis Faw'!$D$2/'Shultis Faw'!$A$2)</f>
        <v>1.53859765</v>
      </c>
      <c r="K518" s="83">
        <f>_xlfn.IFNA(INDEX('Shultis Faw'!$B$2:$B$26,MATCH($C518,'Shultis Faw'!$A$2:$A$26,1))+($C518-INDEX('Shultis Faw'!$A$2:$A$26,MATCH($C518,'Shultis Faw'!$A$2:$A$26,1)))*(INDEX('Shultis Faw'!$B$2:$B$26,MATCH($C518,'Shultis Faw'!$A$2:$A$26,1)+1)-INDEX('Shultis Faw'!$B$2:$B$26,MATCH($C518,'Shultis Faw'!$A$2:$A$26,1)))/(INDEX('Shultis Faw'!$A$2:$A$26,MATCH($C518,'Shultis Faw'!$A$2:$A$26,1)+1)-INDEX('Shultis Faw'!$A$2:$A$26,MATCH($C518,'Shultis Faw'!$A$2:$A$26,1))),$C518*'Shultis Faw'!$B$2/'Shultis Faw'!$A$2)</f>
        <v>-0.1041608</v>
      </c>
      <c r="L518" s="83">
        <f>_xlfn.IFNA(INDEX('Shultis Faw'!$E$2:$E$26,MATCH($C518,'Shultis Faw'!$A$2:$A$26,1))+($C518-INDEX('Shultis Faw'!$A$2:$A$26,MATCH($C518,'Shultis Faw'!$A$2:$A$26,1)))*(INDEX('Shultis Faw'!$E$2:$E$26,MATCH($C518,'Shultis Faw'!$A$2:$A$26,1)+1)-INDEX('Shultis Faw'!$E$2:$E$26,MATCH($C518,'Shultis Faw'!$A$2:$A$26,1)))/(INDEX('Shultis Faw'!$A$2:$A$26,MATCH($C518,'Shultis Faw'!$A$2:$A$26,1)+1)-INDEX('Shultis Faw'!$A$2:$A$26,MATCH($C518,'Shultis Faw'!$A$2:$A$26,1))),$C518*'Shultis Faw'!$E$2/'Shultis Faw'!$A$2)</f>
        <v>4.3390545000000003E-2</v>
      </c>
      <c r="M518" s="83">
        <f>_xlfn.IFNA(INDEX('Shultis Faw'!$F$2:$F$26,MATCH($C518,'Shultis Faw'!$A$2:$A$26,1))+($C518-INDEX('Shultis Faw'!$A$2:$A$26,MATCH($C518,'Shultis Faw'!$A$2:$A$26,1)))*(INDEX('Shultis Faw'!$F$2:$F$26,MATCH($C518,'Shultis Faw'!$A$2:$A$26,1)+1)-INDEX('Shultis Faw'!$F$2:$F$26,MATCH($C518,'Shultis Faw'!$A$2:$A$26,1)))/(INDEX('Shultis Faw'!$A$2:$A$26,MATCH($C518,'Shultis Faw'!$A$2:$A$26,1)+1)-INDEX('Shultis Faw'!$A$2:$A$26,MATCH($C518,'Shultis Faw'!$A$2:$A$26,1))),$C518*'Shultis Faw'!$F$2/'Shultis Faw'!$A$2)</f>
        <v>14.352656999999999</v>
      </c>
      <c r="N518" s="83">
        <f>J518*(H518*'Externe blootstelling'!$D$23/2)^K518+L518*(TANH(((H518*'Externe blootstelling'!$D$23)/(2*M518))-2)-TANH(-2))/(1-TANH(-2))</f>
        <v>1.5137796423440488</v>
      </c>
      <c r="O518" s="83">
        <f>IF(N518=1,1+(I518-1)*H518*'Externe blootstelling'!$D$23/2,1+(I518-1)*(N518^(H518*'Externe blootstelling'!$D$23/2)-1)/(N518-1))</f>
        <v>2.4658164474625943</v>
      </c>
      <c r="P518" s="67">
        <f>G518*EXP(-H518*'Externe blootstelling'!$D$23/2)*O518</f>
        <v>2.6543218980933274E-5</v>
      </c>
      <c r="Q518" s="68"/>
    </row>
    <row r="519" spans="1:17" x14ac:dyDescent="0.2">
      <c r="A519" s="217"/>
      <c r="B519" s="64" t="s">
        <v>104</v>
      </c>
      <c r="C519" s="66">
        <v>0.82520000000000004</v>
      </c>
      <c r="D519" s="66">
        <f t="shared" si="37"/>
        <v>1.3203199999999999E-13</v>
      </c>
      <c r="E519" s="66">
        <v>1.7600000000000002E-4</v>
      </c>
      <c r="F519" s="66">
        <f>_xlfn.IFNA(INDEX('hp (pSv cm2)'!$B$2:$B$52,MATCH($C519,'hp (pSv cm2)'!$A$2:$A$52,1))+($C519-INDEX('hp (pSv cm2)'!$A$2:$A$52,MATCH($C519,'hp (pSv cm2)'!$A$2:$A$52,1)))*(INDEX('hp (pSv cm2)'!$B$2:$B$52,MATCH($C519,'hp (pSv cm2)'!$A$2:$A$52,1)+1)-INDEX('hp (pSv cm2)'!$B$2:$B$52,MATCH($C519,'hp (pSv cm2)'!$A$2:$A$52,1)))/(INDEX('hp (pSv cm2)'!$A$2:$A$52,MATCH($C519,'hp (pSv cm2)'!$A$2:$A$52,1)+1)-INDEX('hp (pSv cm2)'!$A$2:$A$52,MATCH($C519,'hp (pSv cm2)'!$A$2:$A$52,1))),$C519*'hp (pSv cm2)'!$B$2/'hp (pSv cm2)'!$A$2)</f>
        <v>3.8257599999999998</v>
      </c>
      <c r="G519" s="67">
        <f t="shared" si="38"/>
        <v>6.7333376000000003E-4</v>
      </c>
      <c r="H519" s="83">
        <f>_xlfn.IFNA(0.997*(INDEX('Mass attenuation coefficients'!$B$2:$B$37,MATCH($C519,'Mass attenuation coefficients'!$A$2:$A$37,1))+($C519-INDEX('Mass attenuation coefficients'!$A$2:$A$37,MATCH($C519,'Mass attenuation coefficients'!$A$2:$A$37,1)))*(INDEX('Mass attenuation coefficients'!$B$2:$B$37,MATCH($C519,'Mass attenuation coefficients'!$A$2:$A$37,1)+1)-INDEX('Mass attenuation coefficients'!$B$2:$B$37,MATCH($C519,'Mass attenuation coefficients'!$A$2:$A$37,1)))/(INDEX('Mass attenuation coefficients'!$A$2:$A$37,MATCH($C519,'Mass attenuation coefficients'!$A$2:$A$37,1)+1)-INDEX('Mass attenuation coefficients'!$A$2:$A$37,MATCH($C519,'Mass attenuation coefficients'!$A$2:$A$37,1)))),0.997*$C519*'Mass attenuation coefficients'!$B$2/'Mass attenuation coefficients'!$A$2)</f>
        <v>7.741786753999999E-2</v>
      </c>
      <c r="I519" s="83">
        <f>_xlfn.IFNA(INDEX('Shultis Faw'!$C$2:$C$26,MATCH($C519,'Shultis Faw'!$A$2:$A$26,1))+($C519-INDEX('Shultis Faw'!$A$2:$A$26,MATCH($C519,'Shultis Faw'!$A$2:$A$26,1)))*(INDEX('Shultis Faw'!$C$2:$C$26,MATCH($C519,'Shultis Faw'!$A$2:$A$26,1)+1)-INDEX('Shultis Faw'!$C$2:$C$26,MATCH($C519,'Shultis Faw'!$A$2:$A$26,1)))/(INDEX('Shultis Faw'!$A$2:$A$26,MATCH($C519,'Shultis Faw'!$A$2:$A$26,1)+1)-INDEX('Shultis Faw'!$A$2:$A$26,MATCH($C519,'Shultis Faw'!$A$2:$A$26,1))),$C519*'Shultis Faw'!$C$2/'Shultis Faw'!$A$2)</f>
        <v>2.1982660000000003</v>
      </c>
      <c r="J519" s="83">
        <f>_xlfn.IFNA(INDEX('Shultis Faw'!$D$2:$D$26,MATCH($C519,'Shultis Faw'!$A$2:$A$26,1))+($C519-INDEX('Shultis Faw'!$A$2:$A$26,MATCH($C519,'Shultis Faw'!$A$2:$A$26,1)))*(INDEX('Shultis Faw'!$D$2:$D$26,MATCH($C519,'Shultis Faw'!$A$2:$A$26,1)+1)-INDEX('Shultis Faw'!$D$2:$D$26,MATCH($C519,'Shultis Faw'!$A$2:$A$26,1)))/(INDEX('Shultis Faw'!$A$2:$A$26,MATCH($C519,'Shultis Faw'!$A$2:$A$26,1)+1)-INDEX('Shultis Faw'!$A$2:$A$26,MATCH($C519,'Shultis Faw'!$A$2:$A$26,1))),$C519*'Shultis Faw'!$D$2/'Shultis Faw'!$A$2)</f>
        <v>1.5310220000000001</v>
      </c>
      <c r="K519" s="83">
        <f>_xlfn.IFNA(INDEX('Shultis Faw'!$B$2:$B$26,MATCH($C519,'Shultis Faw'!$A$2:$A$26,1))+($C519-INDEX('Shultis Faw'!$A$2:$A$26,MATCH($C519,'Shultis Faw'!$A$2:$A$26,1)))*(INDEX('Shultis Faw'!$B$2:$B$26,MATCH($C519,'Shultis Faw'!$A$2:$A$26,1)+1)-INDEX('Shultis Faw'!$B$2:$B$26,MATCH($C519,'Shultis Faw'!$A$2:$A$26,1)))/(INDEX('Shultis Faw'!$A$2:$A$26,MATCH($C519,'Shultis Faw'!$A$2:$A$26,1)+1)-INDEX('Shultis Faw'!$A$2:$A$26,MATCH($C519,'Shultis Faw'!$A$2:$A$26,1))),$C519*'Shultis Faw'!$B$2/'Shultis Faw'!$A$2)</f>
        <v>-0.10298399999999999</v>
      </c>
      <c r="L519" s="83">
        <f>_xlfn.IFNA(INDEX('Shultis Faw'!$E$2:$E$26,MATCH($C519,'Shultis Faw'!$A$2:$A$26,1))+($C519-INDEX('Shultis Faw'!$A$2:$A$26,MATCH($C519,'Shultis Faw'!$A$2:$A$26,1)))*(INDEX('Shultis Faw'!$E$2:$E$26,MATCH($C519,'Shultis Faw'!$A$2:$A$26,1)+1)-INDEX('Shultis Faw'!$E$2:$E$26,MATCH($C519,'Shultis Faw'!$A$2:$A$26,1)))/(INDEX('Shultis Faw'!$A$2:$A$26,MATCH($C519,'Shultis Faw'!$A$2:$A$26,1)+1)-INDEX('Shultis Faw'!$A$2:$A$26,MATCH($C519,'Shultis Faw'!$A$2:$A$26,1))),$C519*'Shultis Faw'!$E$2/'Shultis Faw'!$A$2)</f>
        <v>4.2956600000000005E-2</v>
      </c>
      <c r="M519" s="83">
        <f>_xlfn.IFNA(INDEX('Shultis Faw'!$F$2:$F$26,MATCH($C519,'Shultis Faw'!$A$2:$A$26,1))+($C519-INDEX('Shultis Faw'!$A$2:$A$26,MATCH($C519,'Shultis Faw'!$A$2:$A$26,1)))*(INDEX('Shultis Faw'!$F$2:$F$26,MATCH($C519,'Shultis Faw'!$A$2:$A$26,1)+1)-INDEX('Shultis Faw'!$F$2:$F$26,MATCH($C519,'Shultis Faw'!$A$2:$A$26,1)))/(INDEX('Shultis Faw'!$A$2:$A$26,MATCH($C519,'Shultis Faw'!$A$2:$A$26,1)+1)-INDEX('Shultis Faw'!$A$2:$A$26,MATCH($C519,'Shultis Faw'!$A$2:$A$26,1))),$C519*'Shultis Faw'!$F$2/'Shultis Faw'!$A$2)</f>
        <v>14.342359999999999</v>
      </c>
      <c r="N519" s="83">
        <f>J519*(H519*'Externe blootstelling'!$D$23/2)^K519+L519*(TANH(((H519*'Externe blootstelling'!$D$23)/(2*M519))-2)-TANH(-2))/(1-TANH(-2))</f>
        <v>1.5077641923278851</v>
      </c>
      <c r="O519" s="83">
        <f>IF(N519=1,1+(I519-1)*H519*'Externe blootstelling'!$D$23/2,1+(I519-1)*(N519^(H519*'Externe blootstelling'!$D$23/2)-1)/(N519-1))</f>
        <v>2.4418677224169691</v>
      </c>
      <c r="P519" s="67">
        <f>G519*EXP(-H519*'Externe blootstelling'!$D$23/2)*O519</f>
        <v>5.1477830321524861E-4</v>
      </c>
      <c r="Q519" s="68"/>
    </row>
    <row r="520" spans="1:17" x14ac:dyDescent="0.2">
      <c r="A520" s="217"/>
      <c r="B520" s="64" t="s">
        <v>104</v>
      </c>
      <c r="C520" s="66">
        <v>0.82947000000000004</v>
      </c>
      <c r="D520" s="66">
        <f t="shared" si="37"/>
        <v>1.3271519999999999E-13</v>
      </c>
      <c r="E520" s="66">
        <v>4.0999999999999995E-3</v>
      </c>
      <c r="F520" s="66">
        <f>_xlfn.IFNA(INDEX('hp (pSv cm2)'!$B$2:$B$52,MATCH($C520,'hp (pSv cm2)'!$A$2:$A$52,1))+($C520-INDEX('hp (pSv cm2)'!$A$2:$A$52,MATCH($C520,'hp (pSv cm2)'!$A$2:$A$52,1)))*(INDEX('hp (pSv cm2)'!$B$2:$B$52,MATCH($C520,'hp (pSv cm2)'!$A$2:$A$52,1)+1)-INDEX('hp (pSv cm2)'!$B$2:$B$52,MATCH($C520,'hp (pSv cm2)'!$A$2:$A$52,1)))/(INDEX('hp (pSv cm2)'!$A$2:$A$52,MATCH($C520,'hp (pSv cm2)'!$A$2:$A$52,1)+1)-INDEX('hp (pSv cm2)'!$A$2:$A$52,MATCH($C520,'hp (pSv cm2)'!$A$2:$A$52,1))),$C520*'hp (pSv cm2)'!$B$2/'hp (pSv cm2)'!$A$2)</f>
        <v>3.8419859999999999</v>
      </c>
      <c r="G520" s="67">
        <f t="shared" si="38"/>
        <v>1.5752142599999998E-2</v>
      </c>
      <c r="H520" s="83">
        <f>_xlfn.IFNA(0.997*(INDEX('Mass attenuation coefficients'!$B$2:$B$37,MATCH($C520,'Mass attenuation coefficients'!$A$2:$A$37,1))+($C520-INDEX('Mass attenuation coefficients'!$A$2:$A$37,MATCH($C520,'Mass attenuation coefficients'!$A$2:$A$37,1)))*(INDEX('Mass attenuation coefficients'!$B$2:$B$37,MATCH($C520,'Mass attenuation coefficients'!$A$2:$A$37,1)+1)-INDEX('Mass attenuation coefficients'!$B$2:$B$37,MATCH($C520,'Mass attenuation coefficients'!$A$2:$A$37,1)))/(INDEX('Mass attenuation coefficients'!$A$2:$A$37,MATCH($C520,'Mass attenuation coefficients'!$A$2:$A$37,1)+1)-INDEX('Mass attenuation coefficients'!$A$2:$A$37,MATCH($C520,'Mass attenuation coefficients'!$A$2:$A$37,1)))),0.997*$C520*'Mass attenuation coefficients'!$B$2/'Mass attenuation coefficients'!$A$2)</f>
        <v>7.7249069956500008E-2</v>
      </c>
      <c r="I520" s="83">
        <f>_xlfn.IFNA(INDEX('Shultis Faw'!$C$2:$C$26,MATCH($C520,'Shultis Faw'!$A$2:$A$26,1))+($C520-INDEX('Shultis Faw'!$A$2:$A$26,MATCH($C520,'Shultis Faw'!$A$2:$A$26,1)))*(INDEX('Shultis Faw'!$C$2:$C$26,MATCH($C520,'Shultis Faw'!$A$2:$A$26,1)+1)-INDEX('Shultis Faw'!$C$2:$C$26,MATCH($C520,'Shultis Faw'!$A$2:$A$26,1)))/(INDEX('Shultis Faw'!$A$2:$A$26,MATCH($C520,'Shultis Faw'!$A$2:$A$26,1)+1)-INDEX('Shultis Faw'!$A$2:$A$26,MATCH($C520,'Shultis Faw'!$A$2:$A$26,1))),$C520*'Shultis Faw'!$C$2/'Shultis Faw'!$A$2)</f>
        <v>2.1959388500000001</v>
      </c>
      <c r="J520" s="83">
        <f>_xlfn.IFNA(INDEX('Shultis Faw'!$D$2:$D$26,MATCH($C520,'Shultis Faw'!$A$2:$A$26,1))+($C520-INDEX('Shultis Faw'!$A$2:$A$26,MATCH($C520,'Shultis Faw'!$A$2:$A$26,1)))*(INDEX('Shultis Faw'!$D$2:$D$26,MATCH($C520,'Shultis Faw'!$A$2:$A$26,1)+1)-INDEX('Shultis Faw'!$D$2:$D$26,MATCH($C520,'Shultis Faw'!$A$2:$A$26,1)))/(INDEX('Shultis Faw'!$A$2:$A$26,MATCH($C520,'Shultis Faw'!$A$2:$A$26,1)+1)-INDEX('Shultis Faw'!$A$2:$A$26,MATCH($C520,'Shultis Faw'!$A$2:$A$26,1))),$C520*'Shultis Faw'!$D$2/'Shultis Faw'!$A$2)</f>
        <v>1.5288229500000001</v>
      </c>
      <c r="K520" s="83">
        <f>_xlfn.IFNA(INDEX('Shultis Faw'!$B$2:$B$26,MATCH($C520,'Shultis Faw'!$A$2:$A$26,1))+($C520-INDEX('Shultis Faw'!$A$2:$A$26,MATCH($C520,'Shultis Faw'!$A$2:$A$26,1)))*(INDEX('Shultis Faw'!$B$2:$B$26,MATCH($C520,'Shultis Faw'!$A$2:$A$26,1)+1)-INDEX('Shultis Faw'!$B$2:$B$26,MATCH($C520,'Shultis Faw'!$A$2:$A$26,1)))/(INDEX('Shultis Faw'!$A$2:$A$26,MATCH($C520,'Shultis Faw'!$A$2:$A$26,1)+1)-INDEX('Shultis Faw'!$A$2:$A$26,MATCH($C520,'Shultis Faw'!$A$2:$A$26,1))),$C520*'Shultis Faw'!$B$2/'Shultis Faw'!$A$2)</f>
        <v>-0.10264239999999999</v>
      </c>
      <c r="L520" s="83">
        <f>_xlfn.IFNA(INDEX('Shultis Faw'!$E$2:$E$26,MATCH($C520,'Shultis Faw'!$A$2:$A$26,1))+($C520-INDEX('Shultis Faw'!$A$2:$A$26,MATCH($C520,'Shultis Faw'!$A$2:$A$26,1)))*(INDEX('Shultis Faw'!$E$2:$E$26,MATCH($C520,'Shultis Faw'!$A$2:$A$26,1)+1)-INDEX('Shultis Faw'!$E$2:$E$26,MATCH($C520,'Shultis Faw'!$A$2:$A$26,1)))/(INDEX('Shultis Faw'!$A$2:$A$26,MATCH($C520,'Shultis Faw'!$A$2:$A$26,1)+1)-INDEX('Shultis Faw'!$A$2:$A$26,MATCH($C520,'Shultis Faw'!$A$2:$A$26,1))),$C520*'Shultis Faw'!$E$2/'Shultis Faw'!$A$2)</f>
        <v>4.2830634999999999E-2</v>
      </c>
      <c r="M520" s="83">
        <f>_xlfn.IFNA(INDEX('Shultis Faw'!$F$2:$F$26,MATCH($C520,'Shultis Faw'!$A$2:$A$26,1))+($C520-INDEX('Shultis Faw'!$A$2:$A$26,MATCH($C520,'Shultis Faw'!$A$2:$A$26,1)))*(INDEX('Shultis Faw'!$F$2:$F$26,MATCH($C520,'Shultis Faw'!$A$2:$A$26,1)+1)-INDEX('Shultis Faw'!$F$2:$F$26,MATCH($C520,'Shultis Faw'!$A$2:$A$26,1)))/(INDEX('Shultis Faw'!$A$2:$A$26,MATCH($C520,'Shultis Faw'!$A$2:$A$26,1)+1)-INDEX('Shultis Faw'!$A$2:$A$26,MATCH($C520,'Shultis Faw'!$A$2:$A$26,1))),$C520*'Shultis Faw'!$F$2/'Shultis Faw'!$A$2)</f>
        <v>14.339371</v>
      </c>
      <c r="N520" s="83">
        <f>J520*(H520*'Externe blootstelling'!$D$23/2)^K520+L520*(TANH(((H520*'Externe blootstelling'!$D$23)/(2*M520))-2)-TANH(-2))/(1-TANH(-2))</f>
        <v>1.5060122885366534</v>
      </c>
      <c r="O520" s="83">
        <f>IF(N520=1,1+(I520-1)*H520*'Externe blootstelling'!$D$23/2,1+(I520-1)*(N520^(H520*'Externe blootstelling'!$D$23/2)-1)/(N520-1))</f>
        <v>2.4349727113140922</v>
      </c>
      <c r="P520" s="67">
        <f>G520*EXP(-H520*'Externe blootstelling'!$D$23/2)*O520</f>
        <v>1.2039295132880896E-2</v>
      </c>
      <c r="Q520" s="68"/>
    </row>
    <row r="521" spans="1:17" x14ac:dyDescent="0.2">
      <c r="A521" s="217"/>
      <c r="B521" s="64" t="s">
        <v>104</v>
      </c>
      <c r="C521" s="66">
        <v>0.8450700000000001</v>
      </c>
      <c r="D521" s="66">
        <f t="shared" si="37"/>
        <v>1.3521120000000002E-13</v>
      </c>
      <c r="E521" s="66">
        <v>6.4999999999999994E-5</v>
      </c>
      <c r="F521" s="66">
        <f>_xlfn.IFNA(INDEX('hp (pSv cm2)'!$B$2:$B$52,MATCH($C521,'hp (pSv cm2)'!$A$2:$A$52,1))+($C521-INDEX('hp (pSv cm2)'!$A$2:$A$52,MATCH($C521,'hp (pSv cm2)'!$A$2:$A$52,1)))*(INDEX('hp (pSv cm2)'!$B$2:$B$52,MATCH($C521,'hp (pSv cm2)'!$A$2:$A$52,1)+1)-INDEX('hp (pSv cm2)'!$B$2:$B$52,MATCH($C521,'hp (pSv cm2)'!$A$2:$A$52,1)))/(INDEX('hp (pSv cm2)'!$A$2:$A$52,MATCH($C521,'hp (pSv cm2)'!$A$2:$A$52,1)+1)-INDEX('hp (pSv cm2)'!$A$2:$A$52,MATCH($C521,'hp (pSv cm2)'!$A$2:$A$52,1))),$C521*'hp (pSv cm2)'!$B$2/'hp (pSv cm2)'!$A$2)</f>
        <v>3.9012660000000001</v>
      </c>
      <c r="G521" s="67">
        <f t="shared" si="38"/>
        <v>2.5358229000000001E-4</v>
      </c>
      <c r="H521" s="83">
        <f>_xlfn.IFNA(0.997*(INDEX('Mass attenuation coefficients'!$B$2:$B$37,MATCH($C521,'Mass attenuation coefficients'!$A$2:$A$37,1))+($C521-INDEX('Mass attenuation coefficients'!$A$2:$A$37,MATCH($C521,'Mass attenuation coefficients'!$A$2:$A$37,1)))*(INDEX('Mass attenuation coefficients'!$B$2:$B$37,MATCH($C521,'Mass attenuation coefficients'!$A$2:$A$37,1)+1)-INDEX('Mass attenuation coefficients'!$B$2:$B$37,MATCH($C521,'Mass attenuation coefficients'!$A$2:$A$37,1)))/(INDEX('Mass attenuation coefficients'!$A$2:$A$37,MATCH($C521,'Mass attenuation coefficients'!$A$2:$A$37,1)+1)-INDEX('Mass attenuation coefficients'!$A$2:$A$37,MATCH($C521,'Mass attenuation coefficients'!$A$2:$A$37,1)))),0.997*$C521*'Mass attenuation coefficients'!$B$2/'Mass attenuation coefficients'!$A$2)</f>
        <v>7.6632385576499998E-2</v>
      </c>
      <c r="I521" s="83">
        <f>_xlfn.IFNA(INDEX('Shultis Faw'!$C$2:$C$26,MATCH($C521,'Shultis Faw'!$A$2:$A$26,1))+($C521-INDEX('Shultis Faw'!$A$2:$A$26,MATCH($C521,'Shultis Faw'!$A$2:$A$26,1)))*(INDEX('Shultis Faw'!$C$2:$C$26,MATCH($C521,'Shultis Faw'!$A$2:$A$26,1)+1)-INDEX('Shultis Faw'!$C$2:$C$26,MATCH($C521,'Shultis Faw'!$A$2:$A$26,1)))/(INDEX('Shultis Faw'!$A$2:$A$26,MATCH($C521,'Shultis Faw'!$A$2:$A$26,1)+1)-INDEX('Shultis Faw'!$A$2:$A$26,MATCH($C521,'Shultis Faw'!$A$2:$A$26,1))),$C521*'Shultis Faw'!$C$2/'Shultis Faw'!$A$2)</f>
        <v>2.1874368500000001</v>
      </c>
      <c r="J521" s="83">
        <f>_xlfn.IFNA(INDEX('Shultis Faw'!$D$2:$D$26,MATCH($C521,'Shultis Faw'!$A$2:$A$26,1))+($C521-INDEX('Shultis Faw'!$A$2:$A$26,MATCH($C521,'Shultis Faw'!$A$2:$A$26,1)))*(INDEX('Shultis Faw'!$D$2:$D$26,MATCH($C521,'Shultis Faw'!$A$2:$A$26,1)+1)-INDEX('Shultis Faw'!$D$2:$D$26,MATCH($C521,'Shultis Faw'!$A$2:$A$26,1)))/(INDEX('Shultis Faw'!$A$2:$A$26,MATCH($C521,'Shultis Faw'!$A$2:$A$26,1)+1)-INDEX('Shultis Faw'!$A$2:$A$26,MATCH($C521,'Shultis Faw'!$A$2:$A$26,1))),$C521*'Shultis Faw'!$D$2/'Shultis Faw'!$A$2)</f>
        <v>1.52078895</v>
      </c>
      <c r="K521" s="83">
        <f>_xlfn.IFNA(INDEX('Shultis Faw'!$B$2:$B$26,MATCH($C521,'Shultis Faw'!$A$2:$A$26,1))+($C521-INDEX('Shultis Faw'!$A$2:$A$26,MATCH($C521,'Shultis Faw'!$A$2:$A$26,1)))*(INDEX('Shultis Faw'!$B$2:$B$26,MATCH($C521,'Shultis Faw'!$A$2:$A$26,1)+1)-INDEX('Shultis Faw'!$B$2:$B$26,MATCH($C521,'Shultis Faw'!$A$2:$A$26,1)))/(INDEX('Shultis Faw'!$A$2:$A$26,MATCH($C521,'Shultis Faw'!$A$2:$A$26,1)+1)-INDEX('Shultis Faw'!$A$2:$A$26,MATCH($C521,'Shultis Faw'!$A$2:$A$26,1))),$C521*'Shultis Faw'!$B$2/'Shultis Faw'!$A$2)</f>
        <v>-0.1013944</v>
      </c>
      <c r="L521" s="83">
        <f>_xlfn.IFNA(INDEX('Shultis Faw'!$E$2:$E$26,MATCH($C521,'Shultis Faw'!$A$2:$A$26,1))+($C521-INDEX('Shultis Faw'!$A$2:$A$26,MATCH($C521,'Shultis Faw'!$A$2:$A$26,1)))*(INDEX('Shultis Faw'!$E$2:$E$26,MATCH($C521,'Shultis Faw'!$A$2:$A$26,1)+1)-INDEX('Shultis Faw'!$E$2:$E$26,MATCH($C521,'Shultis Faw'!$A$2:$A$26,1)))/(INDEX('Shultis Faw'!$A$2:$A$26,MATCH($C521,'Shultis Faw'!$A$2:$A$26,1)+1)-INDEX('Shultis Faw'!$A$2:$A$26,MATCH($C521,'Shultis Faw'!$A$2:$A$26,1))),$C521*'Shultis Faw'!$E$2/'Shultis Faw'!$A$2)</f>
        <v>4.2370434999999998E-2</v>
      </c>
      <c r="M521" s="83">
        <f>_xlfn.IFNA(INDEX('Shultis Faw'!$F$2:$F$26,MATCH($C521,'Shultis Faw'!$A$2:$A$26,1))+($C521-INDEX('Shultis Faw'!$A$2:$A$26,MATCH($C521,'Shultis Faw'!$A$2:$A$26,1)))*(INDEX('Shultis Faw'!$F$2:$F$26,MATCH($C521,'Shultis Faw'!$A$2:$A$26,1)+1)-INDEX('Shultis Faw'!$F$2:$F$26,MATCH($C521,'Shultis Faw'!$A$2:$A$26,1)))/(INDEX('Shultis Faw'!$A$2:$A$26,MATCH($C521,'Shultis Faw'!$A$2:$A$26,1)+1)-INDEX('Shultis Faw'!$A$2:$A$26,MATCH($C521,'Shultis Faw'!$A$2:$A$26,1))),$C521*'Shultis Faw'!$F$2/'Shultis Faw'!$A$2)</f>
        <v>14.328450999999999</v>
      </c>
      <c r="N521" s="83">
        <f>J521*(H521*'Externe blootstelling'!$D$23/2)^K521+L521*(TANH(((H521*'Externe blootstelling'!$D$23)/(2*M521))-2)-TANH(-2))/(1-TANH(-2))</f>
        <v>1.4995899266515498</v>
      </c>
      <c r="O521" s="83">
        <f>IF(N521=1,1+(I521-1)*H521*'Externe blootstelling'!$D$23/2,1+(I521-1)*(N521^(H521*'Externe blootstelling'!$D$23/2)-1)/(N521-1))</f>
        <v>2.409997748432275</v>
      </c>
      <c r="P521" s="67">
        <f>G521*EXP(-H521*'Externe blootstelling'!$D$23/2)*O521</f>
        <v>1.9360662907261849E-4</v>
      </c>
      <c r="Q521" s="68"/>
    </row>
    <row r="522" spans="1:17" x14ac:dyDescent="0.2">
      <c r="A522" s="217"/>
      <c r="B522" s="64" t="s">
        <v>104</v>
      </c>
      <c r="C522" s="66">
        <v>0.93134499999999998</v>
      </c>
      <c r="D522" s="66">
        <f t="shared" si="37"/>
        <v>1.4901519999999999E-13</v>
      </c>
      <c r="E522" s="66">
        <v>5.5000000000000005E-3</v>
      </c>
      <c r="F522" s="66">
        <f>_xlfn.IFNA(INDEX('hp (pSv cm2)'!$B$2:$B$52,MATCH($C522,'hp (pSv cm2)'!$A$2:$A$52,1))+($C522-INDEX('hp (pSv cm2)'!$A$2:$A$52,MATCH($C522,'hp (pSv cm2)'!$A$2:$A$52,1)))*(INDEX('hp (pSv cm2)'!$B$2:$B$52,MATCH($C522,'hp (pSv cm2)'!$A$2:$A$52,1)+1)-INDEX('hp (pSv cm2)'!$B$2:$B$52,MATCH($C522,'hp (pSv cm2)'!$A$2:$A$52,1)))/(INDEX('hp (pSv cm2)'!$A$2:$A$52,MATCH($C522,'hp (pSv cm2)'!$A$2:$A$52,1)+1)-INDEX('hp (pSv cm2)'!$A$2:$A$52,MATCH($C522,'hp (pSv cm2)'!$A$2:$A$52,1))),$C522*'hp (pSv cm2)'!$B$2/'hp (pSv cm2)'!$A$2)</f>
        <v>4.2291109999999996</v>
      </c>
      <c r="G522" s="67">
        <f t="shared" si="38"/>
        <v>2.32601105E-2</v>
      </c>
      <c r="H522" s="83">
        <f>_xlfn.IFNA(0.997*(INDEX('Mass attenuation coefficients'!$B$2:$B$37,MATCH($C522,'Mass attenuation coefficients'!$A$2:$A$37,1))+($C522-INDEX('Mass attenuation coefficients'!$A$2:$A$37,MATCH($C522,'Mass attenuation coefficients'!$A$2:$A$37,1)))*(INDEX('Mass attenuation coefficients'!$B$2:$B$37,MATCH($C522,'Mass attenuation coefficients'!$A$2:$A$37,1)+1)-INDEX('Mass attenuation coefficients'!$B$2:$B$37,MATCH($C522,'Mass attenuation coefficients'!$A$2:$A$37,1)))/(INDEX('Mass attenuation coefficients'!$A$2:$A$37,MATCH($C522,'Mass attenuation coefficients'!$A$2:$A$37,1)+1)-INDEX('Mass attenuation coefficients'!$A$2:$A$37,MATCH($C522,'Mass attenuation coefficients'!$A$2:$A$37,1)))),0.997*$C522*'Mass attenuation coefficients'!$B$2/'Mass attenuation coefficients'!$A$2)</f>
        <v>7.3221844237750008E-2</v>
      </c>
      <c r="I522" s="83">
        <f>_xlfn.IFNA(INDEX('Shultis Faw'!$C$2:$C$26,MATCH($C522,'Shultis Faw'!$A$2:$A$26,1))+($C522-INDEX('Shultis Faw'!$A$2:$A$26,MATCH($C522,'Shultis Faw'!$A$2:$A$26,1)))*(INDEX('Shultis Faw'!$C$2:$C$26,MATCH($C522,'Shultis Faw'!$A$2:$A$26,1)+1)-INDEX('Shultis Faw'!$C$2:$C$26,MATCH($C522,'Shultis Faw'!$A$2:$A$26,1)))/(INDEX('Shultis Faw'!$A$2:$A$26,MATCH($C522,'Shultis Faw'!$A$2:$A$26,1)+1)-INDEX('Shultis Faw'!$A$2:$A$26,MATCH($C522,'Shultis Faw'!$A$2:$A$26,1))),$C522*'Shultis Faw'!$C$2/'Shultis Faw'!$A$2)</f>
        <v>2.1404169750000004</v>
      </c>
      <c r="J522" s="83">
        <f>_xlfn.IFNA(INDEX('Shultis Faw'!$D$2:$D$26,MATCH($C522,'Shultis Faw'!$A$2:$A$26,1))+($C522-INDEX('Shultis Faw'!$A$2:$A$26,MATCH($C522,'Shultis Faw'!$A$2:$A$26,1)))*(INDEX('Shultis Faw'!$D$2:$D$26,MATCH($C522,'Shultis Faw'!$A$2:$A$26,1)+1)-INDEX('Shultis Faw'!$D$2:$D$26,MATCH($C522,'Shultis Faw'!$A$2:$A$26,1)))/(INDEX('Shultis Faw'!$A$2:$A$26,MATCH($C522,'Shultis Faw'!$A$2:$A$26,1)+1)-INDEX('Shultis Faw'!$A$2:$A$26,MATCH($C522,'Shultis Faw'!$A$2:$A$26,1))),$C522*'Shultis Faw'!$D$2/'Shultis Faw'!$A$2)</f>
        <v>1.4763573250000002</v>
      </c>
      <c r="K522" s="83">
        <f>_xlfn.IFNA(INDEX('Shultis Faw'!$B$2:$B$26,MATCH($C522,'Shultis Faw'!$A$2:$A$26,1))+($C522-INDEX('Shultis Faw'!$A$2:$A$26,MATCH($C522,'Shultis Faw'!$A$2:$A$26,1)))*(INDEX('Shultis Faw'!$B$2:$B$26,MATCH($C522,'Shultis Faw'!$A$2:$A$26,1)+1)-INDEX('Shultis Faw'!$B$2:$B$26,MATCH($C522,'Shultis Faw'!$A$2:$A$26,1)))/(INDEX('Shultis Faw'!$A$2:$A$26,MATCH($C522,'Shultis Faw'!$A$2:$A$26,1)+1)-INDEX('Shultis Faw'!$A$2:$A$26,MATCH($C522,'Shultis Faw'!$A$2:$A$26,1))),$C522*'Shultis Faw'!$B$2/'Shultis Faw'!$A$2)</f>
        <v>-9.4492400000000004E-2</v>
      </c>
      <c r="L522" s="83">
        <f>_xlfn.IFNA(INDEX('Shultis Faw'!$E$2:$E$26,MATCH($C522,'Shultis Faw'!$A$2:$A$26,1))+($C522-INDEX('Shultis Faw'!$A$2:$A$26,MATCH($C522,'Shultis Faw'!$A$2:$A$26,1)))*(INDEX('Shultis Faw'!$E$2:$E$26,MATCH($C522,'Shultis Faw'!$A$2:$A$26,1)+1)-INDEX('Shultis Faw'!$E$2:$E$26,MATCH($C522,'Shultis Faw'!$A$2:$A$26,1)))/(INDEX('Shultis Faw'!$A$2:$A$26,MATCH($C522,'Shultis Faw'!$A$2:$A$26,1)+1)-INDEX('Shultis Faw'!$A$2:$A$26,MATCH($C522,'Shultis Faw'!$A$2:$A$26,1))),$C522*'Shultis Faw'!$E$2/'Shultis Faw'!$A$2)</f>
        <v>3.9825322500000003E-2</v>
      </c>
      <c r="M522" s="83">
        <f>_xlfn.IFNA(INDEX('Shultis Faw'!$F$2:$F$26,MATCH($C522,'Shultis Faw'!$A$2:$A$26,1))+($C522-INDEX('Shultis Faw'!$A$2:$A$26,MATCH($C522,'Shultis Faw'!$A$2:$A$26,1)))*(INDEX('Shultis Faw'!$F$2:$F$26,MATCH($C522,'Shultis Faw'!$A$2:$A$26,1)+1)-INDEX('Shultis Faw'!$F$2:$F$26,MATCH($C522,'Shultis Faw'!$A$2:$A$26,1)))/(INDEX('Shultis Faw'!$A$2:$A$26,MATCH($C522,'Shultis Faw'!$A$2:$A$26,1)+1)-INDEX('Shultis Faw'!$A$2:$A$26,MATCH($C522,'Shultis Faw'!$A$2:$A$26,1))),$C522*'Shultis Faw'!$F$2/'Shultis Faw'!$A$2)</f>
        <v>14.2680585</v>
      </c>
      <c r="N522" s="83">
        <f>J522*(H522*'Externe blootstelling'!$D$23/2)^K522+L522*(TANH(((H522*'Externe blootstelling'!$D$23)/(2*M522))-2)-TANH(-2))/(1-TANH(-2))</f>
        <v>1.4634500447589365</v>
      </c>
      <c r="O522" s="83">
        <f>IF(N522=1,1+(I522-1)*H522*'Externe blootstelling'!$D$23/2,1+(I522-1)*(N522^(H522*'Externe blootstelling'!$D$23/2)-1)/(N522-1))</f>
        <v>2.2778096295890888</v>
      </c>
      <c r="P522" s="67">
        <f>G522*EXP(-H522*'Externe blootstelling'!$D$23/2)*O522</f>
        <v>1.766572862171522E-2</v>
      </c>
      <c r="Q522" s="68"/>
    </row>
    <row r="523" spans="1:17" x14ac:dyDescent="0.2">
      <c r="A523" s="217"/>
      <c r="B523" s="64" t="s">
        <v>104</v>
      </c>
      <c r="C523" s="66">
        <v>0.97924999999999995</v>
      </c>
      <c r="D523" s="66">
        <f t="shared" si="37"/>
        <v>1.5667999999999999E-13</v>
      </c>
      <c r="E523" s="66">
        <v>1.0399999999999999E-5</v>
      </c>
      <c r="F523" s="66">
        <f>_xlfn.IFNA(INDEX('hp (pSv cm2)'!$B$2:$B$52,MATCH($C523,'hp (pSv cm2)'!$A$2:$A$52,1))+($C523-INDEX('hp (pSv cm2)'!$A$2:$A$52,MATCH($C523,'hp (pSv cm2)'!$A$2:$A$52,1)))*(INDEX('hp (pSv cm2)'!$B$2:$B$52,MATCH($C523,'hp (pSv cm2)'!$A$2:$A$52,1)+1)-INDEX('hp (pSv cm2)'!$B$2:$B$52,MATCH($C523,'hp (pSv cm2)'!$A$2:$A$52,1)))/(INDEX('hp (pSv cm2)'!$A$2:$A$52,MATCH($C523,'hp (pSv cm2)'!$A$2:$A$52,1)+1)-INDEX('hp (pSv cm2)'!$A$2:$A$52,MATCH($C523,'hp (pSv cm2)'!$A$2:$A$52,1))),$C523*'hp (pSv cm2)'!$B$2/'hp (pSv cm2)'!$A$2)</f>
        <v>4.4111500000000001</v>
      </c>
      <c r="G523" s="67">
        <f t="shared" si="38"/>
        <v>4.5875959999999996E-5</v>
      </c>
      <c r="H523" s="83">
        <f>_xlfn.IFNA(0.997*(INDEX('Mass attenuation coefficients'!$B$2:$B$37,MATCH($C523,'Mass attenuation coefficients'!$A$2:$A$37,1))+($C523-INDEX('Mass attenuation coefficients'!$A$2:$A$37,MATCH($C523,'Mass attenuation coefficients'!$A$2:$A$37,1)))*(INDEX('Mass attenuation coefficients'!$B$2:$B$37,MATCH($C523,'Mass attenuation coefficients'!$A$2:$A$37,1)+1)-INDEX('Mass attenuation coefficients'!$B$2:$B$37,MATCH($C523,'Mass attenuation coefficients'!$A$2:$A$37,1)))/(INDEX('Mass attenuation coefficients'!$A$2:$A$37,MATCH($C523,'Mass attenuation coefficients'!$A$2:$A$37,1)+1)-INDEX('Mass attenuation coefficients'!$A$2:$A$37,MATCH($C523,'Mass attenuation coefficients'!$A$2:$A$37,1)))),0.997*$C523*'Mass attenuation coefficients'!$B$2/'Mass attenuation coefficients'!$A$2)</f>
        <v>7.1328109287500011E-2</v>
      </c>
      <c r="I523" s="83">
        <f>_xlfn.IFNA(INDEX('Shultis Faw'!$C$2:$C$26,MATCH($C523,'Shultis Faw'!$A$2:$A$26,1))+($C523-INDEX('Shultis Faw'!$A$2:$A$26,MATCH($C523,'Shultis Faw'!$A$2:$A$26,1)))*(INDEX('Shultis Faw'!$C$2:$C$26,MATCH($C523,'Shultis Faw'!$A$2:$A$26,1)+1)-INDEX('Shultis Faw'!$C$2:$C$26,MATCH($C523,'Shultis Faw'!$A$2:$A$26,1)))/(INDEX('Shultis Faw'!$A$2:$A$26,MATCH($C523,'Shultis Faw'!$A$2:$A$26,1)+1)-INDEX('Shultis Faw'!$A$2:$A$26,MATCH($C523,'Shultis Faw'!$A$2:$A$26,1))),$C523*'Shultis Faw'!$C$2/'Shultis Faw'!$A$2)</f>
        <v>2.1143087500000002</v>
      </c>
      <c r="J523" s="83">
        <f>_xlfn.IFNA(INDEX('Shultis Faw'!$D$2:$D$26,MATCH($C523,'Shultis Faw'!$A$2:$A$26,1))+($C523-INDEX('Shultis Faw'!$A$2:$A$26,MATCH($C523,'Shultis Faw'!$A$2:$A$26,1)))*(INDEX('Shultis Faw'!$D$2:$D$26,MATCH($C523,'Shultis Faw'!$A$2:$A$26,1)+1)-INDEX('Shultis Faw'!$D$2:$D$26,MATCH($C523,'Shultis Faw'!$A$2:$A$26,1)))/(INDEX('Shultis Faw'!$A$2:$A$26,MATCH($C523,'Shultis Faw'!$A$2:$A$26,1)+1)-INDEX('Shultis Faw'!$A$2:$A$26,MATCH($C523,'Shultis Faw'!$A$2:$A$26,1))),$C523*'Shultis Faw'!$D$2/'Shultis Faw'!$A$2)</f>
        <v>1.4516862500000001</v>
      </c>
      <c r="K523" s="83">
        <f>_xlfn.IFNA(INDEX('Shultis Faw'!$B$2:$B$26,MATCH($C523,'Shultis Faw'!$A$2:$A$26,1))+($C523-INDEX('Shultis Faw'!$A$2:$A$26,MATCH($C523,'Shultis Faw'!$A$2:$A$26,1)))*(INDEX('Shultis Faw'!$B$2:$B$26,MATCH($C523,'Shultis Faw'!$A$2:$A$26,1)+1)-INDEX('Shultis Faw'!$B$2:$B$26,MATCH($C523,'Shultis Faw'!$A$2:$A$26,1)))/(INDEX('Shultis Faw'!$A$2:$A$26,MATCH($C523,'Shultis Faw'!$A$2:$A$26,1)+1)-INDEX('Shultis Faw'!$A$2:$A$26,MATCH($C523,'Shultis Faw'!$A$2:$A$26,1))),$C523*'Shultis Faw'!$B$2/'Shultis Faw'!$A$2)</f>
        <v>-9.0660000000000004E-2</v>
      </c>
      <c r="L523" s="83">
        <f>_xlfn.IFNA(INDEX('Shultis Faw'!$E$2:$E$26,MATCH($C523,'Shultis Faw'!$A$2:$A$26,1))+($C523-INDEX('Shultis Faw'!$A$2:$A$26,MATCH($C523,'Shultis Faw'!$A$2:$A$26,1)))*(INDEX('Shultis Faw'!$E$2:$E$26,MATCH($C523,'Shultis Faw'!$A$2:$A$26,1)+1)-INDEX('Shultis Faw'!$E$2:$E$26,MATCH($C523,'Shultis Faw'!$A$2:$A$26,1)))/(INDEX('Shultis Faw'!$A$2:$A$26,MATCH($C523,'Shultis Faw'!$A$2:$A$26,1)+1)-INDEX('Shultis Faw'!$A$2:$A$26,MATCH($C523,'Shultis Faw'!$A$2:$A$26,1))),$C523*'Shultis Faw'!$E$2/'Shultis Faw'!$A$2)</f>
        <v>3.8412125000000005E-2</v>
      </c>
      <c r="M523" s="83">
        <f>_xlfn.IFNA(INDEX('Shultis Faw'!$F$2:$F$26,MATCH($C523,'Shultis Faw'!$A$2:$A$26,1))+($C523-INDEX('Shultis Faw'!$A$2:$A$26,MATCH($C523,'Shultis Faw'!$A$2:$A$26,1)))*(INDEX('Shultis Faw'!$F$2:$F$26,MATCH($C523,'Shultis Faw'!$A$2:$A$26,1)+1)-INDEX('Shultis Faw'!$F$2:$F$26,MATCH($C523,'Shultis Faw'!$A$2:$A$26,1)))/(INDEX('Shultis Faw'!$A$2:$A$26,MATCH($C523,'Shultis Faw'!$A$2:$A$26,1)+1)-INDEX('Shultis Faw'!$A$2:$A$26,MATCH($C523,'Shultis Faw'!$A$2:$A$26,1))),$C523*'Shultis Faw'!$F$2/'Shultis Faw'!$A$2)</f>
        <v>14.234525000000001</v>
      </c>
      <c r="N523" s="83">
        <f>J523*(H523*'Externe blootstelling'!$D$23/2)^K523+L523*(TANH(((H523*'Externe blootstelling'!$D$23)/(2*M523))-2)-TANH(-2))/(1-TANH(-2))</f>
        <v>1.4429302841622575</v>
      </c>
      <c r="O523" s="83">
        <f>IF(N523=1,1+(I523-1)*H523*'Externe blootstelling'!$D$23/2,1+(I523-1)*(N523^(H523*'Externe blootstelling'!$D$23/2)-1)/(N523-1))</f>
        <v>2.2085820702568162</v>
      </c>
      <c r="P523" s="67">
        <f>G523*EXP(-H523*'Externe blootstelling'!$D$23/2)*O523</f>
        <v>3.4756628628632165E-5</v>
      </c>
      <c r="Q523" s="68"/>
    </row>
    <row r="524" spans="1:17" x14ac:dyDescent="0.2">
      <c r="A524" s="217"/>
      <c r="B524" s="64" t="s">
        <v>104</v>
      </c>
      <c r="C524" s="66">
        <v>0.98409999999999997</v>
      </c>
      <c r="D524" s="66">
        <f t="shared" si="37"/>
        <v>1.5745599999999998E-13</v>
      </c>
      <c r="E524" s="66">
        <v>3.4000000000000001E-6</v>
      </c>
      <c r="F524" s="66">
        <f>_xlfn.IFNA(INDEX('hp (pSv cm2)'!$B$2:$B$52,MATCH($C524,'hp (pSv cm2)'!$A$2:$A$52,1))+($C524-INDEX('hp (pSv cm2)'!$A$2:$A$52,MATCH($C524,'hp (pSv cm2)'!$A$2:$A$52,1)))*(INDEX('hp (pSv cm2)'!$B$2:$B$52,MATCH($C524,'hp (pSv cm2)'!$A$2:$A$52,1)+1)-INDEX('hp (pSv cm2)'!$B$2:$B$52,MATCH($C524,'hp (pSv cm2)'!$A$2:$A$52,1)))/(INDEX('hp (pSv cm2)'!$A$2:$A$52,MATCH($C524,'hp (pSv cm2)'!$A$2:$A$52,1)+1)-INDEX('hp (pSv cm2)'!$A$2:$A$52,MATCH($C524,'hp (pSv cm2)'!$A$2:$A$52,1))),$C524*'hp (pSv cm2)'!$B$2/'hp (pSv cm2)'!$A$2)</f>
        <v>4.4295799999999996</v>
      </c>
      <c r="G524" s="67">
        <f t="shared" si="38"/>
        <v>1.5060572E-5</v>
      </c>
      <c r="H524" s="83">
        <f>_xlfn.IFNA(0.997*(INDEX('Mass attenuation coefficients'!$B$2:$B$37,MATCH($C524,'Mass attenuation coefficients'!$A$2:$A$37,1))+($C524-INDEX('Mass attenuation coefficients'!$A$2:$A$37,MATCH($C524,'Mass attenuation coefficients'!$A$2:$A$37,1)))*(INDEX('Mass attenuation coefficients'!$B$2:$B$37,MATCH($C524,'Mass attenuation coefficients'!$A$2:$A$37,1)+1)-INDEX('Mass attenuation coefficients'!$B$2:$B$37,MATCH($C524,'Mass attenuation coefficients'!$A$2:$A$37,1)))/(INDEX('Mass attenuation coefficients'!$A$2:$A$37,MATCH($C524,'Mass attenuation coefficients'!$A$2:$A$37,1)+1)-INDEX('Mass attenuation coefficients'!$A$2:$A$37,MATCH($C524,'Mass attenuation coefficients'!$A$2:$A$37,1)))),0.997*$C524*'Mass attenuation coefficients'!$B$2/'Mass attenuation coefficients'!$A$2)</f>
        <v>7.1136383694999999E-2</v>
      </c>
      <c r="I524" s="83">
        <f>_xlfn.IFNA(INDEX('Shultis Faw'!$C$2:$C$26,MATCH($C524,'Shultis Faw'!$A$2:$A$26,1))+($C524-INDEX('Shultis Faw'!$A$2:$A$26,MATCH($C524,'Shultis Faw'!$A$2:$A$26,1)))*(INDEX('Shultis Faw'!$C$2:$C$26,MATCH($C524,'Shultis Faw'!$A$2:$A$26,1)+1)-INDEX('Shultis Faw'!$C$2:$C$26,MATCH($C524,'Shultis Faw'!$A$2:$A$26,1)))/(INDEX('Shultis Faw'!$A$2:$A$26,MATCH($C524,'Shultis Faw'!$A$2:$A$26,1)+1)-INDEX('Shultis Faw'!$A$2:$A$26,MATCH($C524,'Shultis Faw'!$A$2:$A$26,1))),$C524*'Shultis Faw'!$C$2/'Shultis Faw'!$A$2)</f>
        <v>2.1116655000000004</v>
      </c>
      <c r="J524" s="83">
        <f>_xlfn.IFNA(INDEX('Shultis Faw'!$D$2:$D$26,MATCH($C524,'Shultis Faw'!$A$2:$A$26,1))+($C524-INDEX('Shultis Faw'!$A$2:$A$26,MATCH($C524,'Shultis Faw'!$A$2:$A$26,1)))*(INDEX('Shultis Faw'!$D$2:$D$26,MATCH($C524,'Shultis Faw'!$A$2:$A$26,1)+1)-INDEX('Shultis Faw'!$D$2:$D$26,MATCH($C524,'Shultis Faw'!$A$2:$A$26,1)))/(INDEX('Shultis Faw'!$A$2:$A$26,MATCH($C524,'Shultis Faw'!$A$2:$A$26,1)+1)-INDEX('Shultis Faw'!$A$2:$A$26,MATCH($C524,'Shultis Faw'!$A$2:$A$26,1))),$C524*'Shultis Faw'!$D$2/'Shultis Faw'!$A$2)</f>
        <v>1.4491885</v>
      </c>
      <c r="K524" s="83">
        <f>_xlfn.IFNA(INDEX('Shultis Faw'!$B$2:$B$26,MATCH($C524,'Shultis Faw'!$A$2:$A$26,1))+($C524-INDEX('Shultis Faw'!$A$2:$A$26,MATCH($C524,'Shultis Faw'!$A$2:$A$26,1)))*(INDEX('Shultis Faw'!$B$2:$B$26,MATCH($C524,'Shultis Faw'!$A$2:$A$26,1)+1)-INDEX('Shultis Faw'!$B$2:$B$26,MATCH($C524,'Shultis Faw'!$A$2:$A$26,1)))/(INDEX('Shultis Faw'!$A$2:$A$26,MATCH($C524,'Shultis Faw'!$A$2:$A$26,1)+1)-INDEX('Shultis Faw'!$A$2:$A$26,MATCH($C524,'Shultis Faw'!$A$2:$A$26,1))),$C524*'Shultis Faw'!$B$2/'Shultis Faw'!$A$2)</f>
        <v>-9.0272000000000005E-2</v>
      </c>
      <c r="L524" s="83">
        <f>_xlfn.IFNA(INDEX('Shultis Faw'!$E$2:$E$26,MATCH($C524,'Shultis Faw'!$A$2:$A$26,1))+($C524-INDEX('Shultis Faw'!$A$2:$A$26,MATCH($C524,'Shultis Faw'!$A$2:$A$26,1)))*(INDEX('Shultis Faw'!$E$2:$E$26,MATCH($C524,'Shultis Faw'!$A$2:$A$26,1)+1)-INDEX('Shultis Faw'!$E$2:$E$26,MATCH($C524,'Shultis Faw'!$A$2:$A$26,1)))/(INDEX('Shultis Faw'!$A$2:$A$26,MATCH($C524,'Shultis Faw'!$A$2:$A$26,1)+1)-INDEX('Shultis Faw'!$A$2:$A$26,MATCH($C524,'Shultis Faw'!$A$2:$A$26,1))),$C524*'Shultis Faw'!$E$2/'Shultis Faw'!$A$2)</f>
        <v>3.8269049999999999E-2</v>
      </c>
      <c r="M524" s="83">
        <f>_xlfn.IFNA(INDEX('Shultis Faw'!$F$2:$F$26,MATCH($C524,'Shultis Faw'!$A$2:$A$26,1))+($C524-INDEX('Shultis Faw'!$A$2:$A$26,MATCH($C524,'Shultis Faw'!$A$2:$A$26,1)))*(INDEX('Shultis Faw'!$F$2:$F$26,MATCH($C524,'Shultis Faw'!$A$2:$A$26,1)+1)-INDEX('Shultis Faw'!$F$2:$F$26,MATCH($C524,'Shultis Faw'!$A$2:$A$26,1)))/(INDEX('Shultis Faw'!$A$2:$A$26,MATCH($C524,'Shultis Faw'!$A$2:$A$26,1)+1)-INDEX('Shultis Faw'!$A$2:$A$26,MATCH($C524,'Shultis Faw'!$A$2:$A$26,1))),$C524*'Shultis Faw'!$F$2/'Shultis Faw'!$A$2)</f>
        <v>14.23113</v>
      </c>
      <c r="N524" s="83">
        <f>J524*(H524*'Externe blootstelling'!$D$23/2)^K524+L524*(TANH(((H524*'Externe blootstelling'!$D$23)/(2*M524))-2)-TANH(-2))/(1-TANH(-2))</f>
        <v>1.4408348668164577</v>
      </c>
      <c r="O524" s="83">
        <f>IF(N524=1,1+(I524-1)*H524*'Externe blootstelling'!$D$23/2,1+(I524-1)*(N524^(H524*'Externe blootstelling'!$D$23/2)-1)/(N524-1))</f>
        <v>2.2017332934823175</v>
      </c>
      <c r="P524" s="67">
        <f>G524*EXP(-H524*'Externe blootstelling'!$D$23/2)*O524</f>
        <v>1.1407594963868697E-5</v>
      </c>
      <c r="Q524" s="68"/>
    </row>
    <row r="525" spans="1:17" x14ac:dyDescent="0.2">
      <c r="A525" s="217"/>
      <c r="B525" s="64" t="s">
        <v>104</v>
      </c>
      <c r="C525" s="66">
        <v>1.0177</v>
      </c>
      <c r="D525" s="66">
        <f t="shared" si="37"/>
        <v>1.6283199999999999E-13</v>
      </c>
      <c r="E525" s="66">
        <v>1.47E-4</v>
      </c>
      <c r="F525" s="66">
        <f>_xlfn.IFNA(INDEX('hp (pSv cm2)'!$B$2:$B$52,MATCH($C525,'hp (pSv cm2)'!$A$2:$A$52,1))+($C525-INDEX('hp (pSv cm2)'!$A$2:$A$52,MATCH($C525,'hp (pSv cm2)'!$A$2:$A$52,1)))*(INDEX('hp (pSv cm2)'!$B$2:$B$52,MATCH($C525,'hp (pSv cm2)'!$A$2:$A$52,1)+1)-INDEX('hp (pSv cm2)'!$B$2:$B$52,MATCH($C525,'hp (pSv cm2)'!$A$2:$A$52,1)))/(INDEX('hp (pSv cm2)'!$A$2:$A$52,MATCH($C525,'hp (pSv cm2)'!$A$2:$A$52,1)+1)-INDEX('hp (pSv cm2)'!$A$2:$A$52,MATCH($C525,'hp (pSv cm2)'!$A$2:$A$52,1))),$C525*'hp (pSv cm2)'!$B$2/'hp (pSv cm2)'!$A$2)</f>
        <v>4.5477020000000001</v>
      </c>
      <c r="G525" s="67">
        <f t="shared" si="38"/>
        <v>6.68512194E-4</v>
      </c>
      <c r="H525" s="83">
        <f>_xlfn.IFNA(0.997*(INDEX('Mass attenuation coefficients'!$B$2:$B$37,MATCH($C525,'Mass attenuation coefficients'!$A$2:$A$37,1))+($C525-INDEX('Mass attenuation coefficients'!$A$2:$A$37,MATCH($C525,'Mass attenuation coefficients'!$A$2:$A$37,1)))*(INDEX('Mass attenuation coefficients'!$B$2:$B$37,MATCH($C525,'Mass attenuation coefficients'!$A$2:$A$37,1)+1)-INDEX('Mass attenuation coefficients'!$B$2:$B$37,MATCH($C525,'Mass attenuation coefficients'!$A$2:$A$37,1)))/(INDEX('Mass attenuation coefficients'!$A$2:$A$37,MATCH($C525,'Mass attenuation coefficients'!$A$2:$A$37,1)+1)-INDEX('Mass attenuation coefficients'!$A$2:$A$37,MATCH($C525,'Mass attenuation coefficients'!$A$2:$A$37,1)))),0.997*$C525*'Mass attenuation coefficients'!$B$2/'Mass attenuation coefficients'!$A$2)</f>
        <v>6.9979138876000005E-2</v>
      </c>
      <c r="I525" s="83">
        <f>_xlfn.IFNA(INDEX('Shultis Faw'!$C$2:$C$26,MATCH($C525,'Shultis Faw'!$A$2:$A$26,1))+($C525-INDEX('Shultis Faw'!$A$2:$A$26,MATCH($C525,'Shultis Faw'!$A$2:$A$26,1)))*(INDEX('Shultis Faw'!$C$2:$C$26,MATCH($C525,'Shultis Faw'!$A$2:$A$26,1)+1)-INDEX('Shultis Faw'!$C$2:$C$26,MATCH($C525,'Shultis Faw'!$A$2:$A$26,1)))/(INDEX('Shultis Faw'!$A$2:$A$26,MATCH($C525,'Shultis Faw'!$A$2:$A$26,1)+1)-INDEX('Shultis Faw'!$A$2:$A$26,MATCH($C525,'Shultis Faw'!$A$2:$A$26,1))),$C525*'Shultis Faw'!$C$2/'Shultis Faw'!$A$2)</f>
        <v>2.0971944000000002</v>
      </c>
      <c r="J525" s="83">
        <f>_xlfn.IFNA(INDEX('Shultis Faw'!$D$2:$D$26,MATCH($C525,'Shultis Faw'!$A$2:$A$26,1))+($C525-INDEX('Shultis Faw'!$A$2:$A$26,MATCH($C525,'Shultis Faw'!$A$2:$A$26,1)))*(INDEX('Shultis Faw'!$D$2:$D$26,MATCH($C525,'Shultis Faw'!$A$2:$A$26,1)+1)-INDEX('Shultis Faw'!$D$2:$D$26,MATCH($C525,'Shultis Faw'!$A$2:$A$26,1)))/(INDEX('Shultis Faw'!$A$2:$A$26,MATCH($C525,'Shultis Faw'!$A$2:$A$26,1)+1)-INDEX('Shultis Faw'!$A$2:$A$26,MATCH($C525,'Shultis Faw'!$A$2:$A$26,1))),$C525*'Shultis Faw'!$D$2/'Shultis Faw'!$A$2)</f>
        <v>1.4349111999999999</v>
      </c>
      <c r="K525" s="83">
        <f>_xlfn.IFNA(INDEX('Shultis Faw'!$B$2:$B$26,MATCH($C525,'Shultis Faw'!$A$2:$A$26,1))+($C525-INDEX('Shultis Faw'!$A$2:$A$26,MATCH($C525,'Shultis Faw'!$A$2:$A$26,1)))*(INDEX('Shultis Faw'!$B$2:$B$26,MATCH($C525,'Shultis Faw'!$A$2:$A$26,1)+1)-INDEX('Shultis Faw'!$B$2:$B$26,MATCH($C525,'Shultis Faw'!$A$2:$A$26,1)))/(INDEX('Shultis Faw'!$A$2:$A$26,MATCH($C525,'Shultis Faw'!$A$2:$A$26,1)+1)-INDEX('Shultis Faw'!$A$2:$A$26,MATCH($C525,'Shultis Faw'!$A$2:$A$26,1))),$C525*'Shultis Faw'!$B$2/'Shultis Faw'!$A$2)</f>
        <v>-8.7902599999999997E-2</v>
      </c>
      <c r="L525" s="83">
        <f>_xlfn.IFNA(INDEX('Shultis Faw'!$E$2:$E$26,MATCH($C525,'Shultis Faw'!$A$2:$A$26,1))+($C525-INDEX('Shultis Faw'!$A$2:$A$26,MATCH($C525,'Shultis Faw'!$A$2:$A$26,1)))*(INDEX('Shultis Faw'!$E$2:$E$26,MATCH($C525,'Shultis Faw'!$A$2:$A$26,1)+1)-INDEX('Shultis Faw'!$E$2:$E$26,MATCH($C525,'Shultis Faw'!$A$2:$A$26,1)))/(INDEX('Shultis Faw'!$A$2:$A$26,MATCH($C525,'Shultis Faw'!$A$2:$A$26,1)+1)-INDEX('Shultis Faw'!$A$2:$A$26,MATCH($C525,'Shultis Faw'!$A$2:$A$26,1))),$C525*'Shultis Faw'!$E$2/'Shultis Faw'!$A$2)</f>
        <v>3.733272E-2</v>
      </c>
      <c r="M525" s="83">
        <f>_xlfn.IFNA(INDEX('Shultis Faw'!$F$2:$F$26,MATCH($C525,'Shultis Faw'!$A$2:$A$26,1))+($C525-INDEX('Shultis Faw'!$A$2:$A$26,MATCH($C525,'Shultis Faw'!$A$2:$A$26,1)))*(INDEX('Shultis Faw'!$F$2:$F$26,MATCH($C525,'Shultis Faw'!$A$2:$A$26,1)+1)-INDEX('Shultis Faw'!$F$2:$F$26,MATCH($C525,'Shultis Faw'!$A$2:$A$26,1)))/(INDEX('Shultis Faw'!$A$2:$A$26,MATCH($C525,'Shultis Faw'!$A$2:$A$26,1)+1)-INDEX('Shultis Faw'!$A$2:$A$26,MATCH($C525,'Shultis Faw'!$A$2:$A$26,1))),$C525*'Shultis Faw'!$F$2/'Shultis Faw'!$A$2)</f>
        <v>14.23062</v>
      </c>
      <c r="N525" s="83">
        <f>J525*(H525*'Externe blootstelling'!$D$23/2)^K525+L525*(TANH(((H525*'Externe blootstelling'!$D$23)/(2*M525))-2)-TANH(-2))/(1-TANH(-2))</f>
        <v>1.4289142255792695</v>
      </c>
      <c r="O525" s="83">
        <f>IF(N525=1,1+(I525-1)*H525*'Externe blootstelling'!$D$23/2,1+(I525-1)*(N525^(H525*'Externe blootstelling'!$D$23/2)-1)/(N525-1))</f>
        <v>2.1625953464077563</v>
      </c>
      <c r="P525" s="67">
        <f>G525*EXP(-H525*'Externe blootstelling'!$D$23/2)*O525</f>
        <v>5.0607081179225664E-4</v>
      </c>
      <c r="Q525" s="68"/>
    </row>
    <row r="526" spans="1:17" x14ac:dyDescent="0.2">
      <c r="A526" s="217"/>
      <c r="B526" s="64" t="s">
        <v>104</v>
      </c>
      <c r="C526" s="66">
        <v>1.0714000000000001</v>
      </c>
      <c r="D526" s="66">
        <f t="shared" si="37"/>
        <v>1.7142400000000003E-13</v>
      </c>
      <c r="E526" s="66">
        <v>6.7000000000000002E-6</v>
      </c>
      <c r="F526" s="66">
        <f>_xlfn.IFNA(INDEX('hp (pSv cm2)'!$B$2:$B$52,MATCH($C526,'hp (pSv cm2)'!$A$2:$A$52,1))+($C526-INDEX('hp (pSv cm2)'!$A$2:$A$52,MATCH($C526,'hp (pSv cm2)'!$A$2:$A$52,1)))*(INDEX('hp (pSv cm2)'!$B$2:$B$52,MATCH($C526,'hp (pSv cm2)'!$A$2:$A$52,1)+1)-INDEX('hp (pSv cm2)'!$B$2:$B$52,MATCH($C526,'hp (pSv cm2)'!$A$2:$A$52,1)))/(INDEX('hp (pSv cm2)'!$A$2:$A$52,MATCH($C526,'hp (pSv cm2)'!$A$2:$A$52,1)+1)-INDEX('hp (pSv cm2)'!$A$2:$A$52,MATCH($C526,'hp (pSv cm2)'!$A$2:$A$52,1))),$C526*'hp (pSv cm2)'!$B$2/'hp (pSv cm2)'!$A$2)</f>
        <v>4.7227640000000006</v>
      </c>
      <c r="G526" s="67">
        <f t="shared" si="38"/>
        <v>3.1642518800000003E-5</v>
      </c>
      <c r="H526" s="83">
        <f>_xlfn.IFNA(0.997*(INDEX('Mass attenuation coefficients'!$B$2:$B$37,MATCH($C526,'Mass attenuation coefficients'!$A$2:$A$37,1))+($C526-INDEX('Mass attenuation coefficients'!$A$2:$A$37,MATCH($C526,'Mass attenuation coefficients'!$A$2:$A$37,1)))*(INDEX('Mass attenuation coefficients'!$B$2:$B$37,MATCH($C526,'Mass attenuation coefficients'!$A$2:$A$37,1)+1)-INDEX('Mass attenuation coefficients'!$B$2:$B$37,MATCH($C526,'Mass attenuation coefficients'!$A$2:$A$37,1)))/(INDEX('Mass attenuation coefficients'!$A$2:$A$37,MATCH($C526,'Mass attenuation coefficients'!$A$2:$A$37,1)+1)-INDEX('Mass attenuation coefficients'!$A$2:$A$37,MATCH($C526,'Mass attenuation coefficients'!$A$2:$A$37,1)))),0.997*$C526*'Mass attenuation coefficients'!$B$2/'Mass attenuation coefficients'!$A$2)</f>
        <v>6.8375113431999993E-2</v>
      </c>
      <c r="I526" s="83">
        <f>_xlfn.IFNA(INDEX('Shultis Faw'!$C$2:$C$26,MATCH($C526,'Shultis Faw'!$A$2:$A$26,1))+($C526-INDEX('Shultis Faw'!$A$2:$A$26,MATCH($C526,'Shultis Faw'!$A$2:$A$26,1)))*(INDEX('Shultis Faw'!$C$2:$C$26,MATCH($C526,'Shultis Faw'!$A$2:$A$26,1)+1)-INDEX('Shultis Faw'!$C$2:$C$26,MATCH($C526,'Shultis Faw'!$A$2:$A$26,1)))/(INDEX('Shultis Faw'!$A$2:$A$26,MATCH($C526,'Shultis Faw'!$A$2:$A$26,1)+1)-INDEX('Shultis Faw'!$A$2:$A$26,MATCH($C526,'Shultis Faw'!$A$2:$A$26,1))),$C526*'Shultis Faw'!$C$2/'Shultis Faw'!$A$2)</f>
        <v>2.0795808</v>
      </c>
      <c r="J526" s="83">
        <f>_xlfn.IFNA(INDEX('Shultis Faw'!$D$2:$D$26,MATCH($C526,'Shultis Faw'!$A$2:$A$26,1))+($C526-INDEX('Shultis Faw'!$A$2:$A$26,MATCH($C526,'Shultis Faw'!$A$2:$A$26,1)))*(INDEX('Shultis Faw'!$D$2:$D$26,MATCH($C526,'Shultis Faw'!$A$2:$A$26,1)+1)-INDEX('Shultis Faw'!$D$2:$D$26,MATCH($C526,'Shultis Faw'!$A$2:$A$26,1)))/(INDEX('Shultis Faw'!$A$2:$A$26,MATCH($C526,'Shultis Faw'!$A$2:$A$26,1)+1)-INDEX('Shultis Faw'!$A$2:$A$26,MATCH($C526,'Shultis Faw'!$A$2:$A$26,1))),$C526*'Shultis Faw'!$D$2/'Shultis Faw'!$A$2)</f>
        <v>1.4164384000000001</v>
      </c>
      <c r="K526" s="83">
        <f>_xlfn.IFNA(INDEX('Shultis Faw'!$B$2:$B$26,MATCH($C526,'Shultis Faw'!$A$2:$A$26,1))+($C526-INDEX('Shultis Faw'!$A$2:$A$26,MATCH($C526,'Shultis Faw'!$A$2:$A$26,1)))*(INDEX('Shultis Faw'!$B$2:$B$26,MATCH($C526,'Shultis Faw'!$A$2:$A$26,1)+1)-INDEX('Shultis Faw'!$B$2:$B$26,MATCH($C526,'Shultis Faw'!$A$2:$A$26,1)))/(INDEX('Shultis Faw'!$A$2:$A$26,MATCH($C526,'Shultis Faw'!$A$2:$A$26,1)+1)-INDEX('Shultis Faw'!$A$2:$A$26,MATCH($C526,'Shultis Faw'!$A$2:$A$26,1))),$C526*'Shultis Faw'!$B$2/'Shultis Faw'!$A$2)</f>
        <v>-8.4573199999999987E-2</v>
      </c>
      <c r="L526" s="83">
        <f>_xlfn.IFNA(INDEX('Shultis Faw'!$E$2:$E$26,MATCH($C526,'Shultis Faw'!$A$2:$A$26,1))+($C526-INDEX('Shultis Faw'!$A$2:$A$26,MATCH($C526,'Shultis Faw'!$A$2:$A$26,1)))*(INDEX('Shultis Faw'!$E$2:$E$26,MATCH($C526,'Shultis Faw'!$A$2:$A$26,1)+1)-INDEX('Shultis Faw'!$E$2:$E$26,MATCH($C526,'Shultis Faw'!$A$2:$A$26,1)))/(INDEX('Shultis Faw'!$A$2:$A$26,MATCH($C526,'Shultis Faw'!$A$2:$A$26,1)+1)-INDEX('Shultis Faw'!$A$2:$A$26,MATCH($C526,'Shultis Faw'!$A$2:$A$26,1))),$C526*'Shultis Faw'!$E$2/'Shultis Faw'!$A$2)</f>
        <v>3.5915039999999995E-2</v>
      </c>
      <c r="M526" s="83">
        <f>_xlfn.IFNA(INDEX('Shultis Faw'!$F$2:$F$26,MATCH($C526,'Shultis Faw'!$A$2:$A$26,1))+($C526-INDEX('Shultis Faw'!$A$2:$A$26,MATCH($C526,'Shultis Faw'!$A$2:$A$26,1)))*(INDEX('Shultis Faw'!$F$2:$F$26,MATCH($C526,'Shultis Faw'!$A$2:$A$26,1)+1)-INDEX('Shultis Faw'!$F$2:$F$26,MATCH($C526,'Shultis Faw'!$A$2:$A$26,1)))/(INDEX('Shultis Faw'!$A$2:$A$26,MATCH($C526,'Shultis Faw'!$A$2:$A$26,1)+1)-INDEX('Shultis Faw'!$A$2:$A$26,MATCH($C526,'Shultis Faw'!$A$2:$A$26,1))),$C526*'Shultis Faw'!$F$2/'Shultis Faw'!$A$2)</f>
        <v>14.262840000000001</v>
      </c>
      <c r="N526" s="83">
        <f>J526*(H526*'Externe blootstelling'!$D$23/2)^K526+L526*(TANH(((H526*'Externe blootstelling'!$D$23)/(2*M526))-2)-TANH(-2))/(1-TANH(-2))</f>
        <v>1.4135100632737232</v>
      </c>
      <c r="O526" s="83">
        <f>IF(N526=1,1+(I526-1)*H526*'Externe blootstelling'!$D$23/2,1+(I526-1)*(N526^(H526*'Externe blootstelling'!$D$23/2)-1)/(N526-1))</f>
        <v>2.1124553217912831</v>
      </c>
      <c r="P526" s="67">
        <f>G526*EXP(-H526*'Externe blootstelling'!$D$23/2)*O526</f>
        <v>2.396815266669322E-5</v>
      </c>
      <c r="Q526" s="68"/>
    </row>
    <row r="527" spans="1:17" x14ac:dyDescent="0.2">
      <c r="A527" s="217"/>
      <c r="B527" s="64" t="s">
        <v>104</v>
      </c>
      <c r="C527" s="66">
        <v>1.0968</v>
      </c>
      <c r="D527" s="66">
        <f t="shared" si="37"/>
        <v>1.75488E-13</v>
      </c>
      <c r="E527" s="66">
        <v>6.4000000000000006E-6</v>
      </c>
      <c r="F527" s="66">
        <f>_xlfn.IFNA(INDEX('hp (pSv cm2)'!$B$2:$B$52,MATCH($C527,'hp (pSv cm2)'!$A$2:$A$52,1))+($C527-INDEX('hp (pSv cm2)'!$A$2:$A$52,MATCH($C527,'hp (pSv cm2)'!$A$2:$A$52,1)))*(INDEX('hp (pSv cm2)'!$B$2:$B$52,MATCH($C527,'hp (pSv cm2)'!$A$2:$A$52,1)+1)-INDEX('hp (pSv cm2)'!$B$2:$B$52,MATCH($C527,'hp (pSv cm2)'!$A$2:$A$52,1)))/(INDEX('hp (pSv cm2)'!$A$2:$A$52,MATCH($C527,'hp (pSv cm2)'!$A$2:$A$52,1)+1)-INDEX('hp (pSv cm2)'!$A$2:$A$52,MATCH($C527,'hp (pSv cm2)'!$A$2:$A$52,1))),$C527*'hp (pSv cm2)'!$B$2/'hp (pSv cm2)'!$A$2)</f>
        <v>4.8055680000000001</v>
      </c>
      <c r="G527" s="67">
        <f t="shared" si="38"/>
        <v>3.07556352E-5</v>
      </c>
      <c r="H527" s="83">
        <f>_xlfn.IFNA(0.997*(INDEX('Mass attenuation coefficients'!$B$2:$B$37,MATCH($C527,'Mass attenuation coefficients'!$A$2:$A$37,1))+($C527-INDEX('Mass attenuation coefficients'!$A$2:$A$37,MATCH($C527,'Mass attenuation coefficients'!$A$2:$A$37,1)))*(INDEX('Mass attenuation coefficients'!$B$2:$B$37,MATCH($C527,'Mass attenuation coefficients'!$A$2:$A$37,1)+1)-INDEX('Mass attenuation coefficients'!$B$2:$B$37,MATCH($C527,'Mass attenuation coefficients'!$A$2:$A$37,1)))/(INDEX('Mass attenuation coefficients'!$A$2:$A$37,MATCH($C527,'Mass attenuation coefficients'!$A$2:$A$37,1)+1)-INDEX('Mass attenuation coefficients'!$A$2:$A$37,MATCH($C527,'Mass attenuation coefficients'!$A$2:$A$37,1)))),0.997*$C527*'Mass attenuation coefficients'!$B$2/'Mass attenuation coefficients'!$A$2)</f>
        <v>6.7616412383999999E-2</v>
      </c>
      <c r="I527" s="83">
        <f>_xlfn.IFNA(INDEX('Shultis Faw'!$C$2:$C$26,MATCH($C527,'Shultis Faw'!$A$2:$A$26,1))+($C527-INDEX('Shultis Faw'!$A$2:$A$26,MATCH($C527,'Shultis Faw'!$A$2:$A$26,1)))*(INDEX('Shultis Faw'!$C$2:$C$26,MATCH($C527,'Shultis Faw'!$A$2:$A$26,1)+1)-INDEX('Shultis Faw'!$C$2:$C$26,MATCH($C527,'Shultis Faw'!$A$2:$A$26,1)))/(INDEX('Shultis Faw'!$A$2:$A$26,MATCH($C527,'Shultis Faw'!$A$2:$A$26,1)+1)-INDEX('Shultis Faw'!$A$2:$A$26,MATCH($C527,'Shultis Faw'!$A$2:$A$26,1))),$C527*'Shultis Faw'!$C$2/'Shultis Faw'!$A$2)</f>
        <v>2.0712496000000002</v>
      </c>
      <c r="J527" s="83">
        <f>_xlfn.IFNA(INDEX('Shultis Faw'!$D$2:$D$26,MATCH($C527,'Shultis Faw'!$A$2:$A$26,1))+($C527-INDEX('Shultis Faw'!$A$2:$A$26,MATCH($C527,'Shultis Faw'!$A$2:$A$26,1)))*(INDEX('Shultis Faw'!$D$2:$D$26,MATCH($C527,'Shultis Faw'!$A$2:$A$26,1)+1)-INDEX('Shultis Faw'!$D$2:$D$26,MATCH($C527,'Shultis Faw'!$A$2:$A$26,1)))/(INDEX('Shultis Faw'!$A$2:$A$26,MATCH($C527,'Shultis Faw'!$A$2:$A$26,1)+1)-INDEX('Shultis Faw'!$A$2:$A$26,MATCH($C527,'Shultis Faw'!$A$2:$A$26,1))),$C527*'Shultis Faw'!$D$2/'Shultis Faw'!$A$2)</f>
        <v>1.4077008</v>
      </c>
      <c r="K527" s="83">
        <f>_xlfn.IFNA(INDEX('Shultis Faw'!$B$2:$B$26,MATCH($C527,'Shultis Faw'!$A$2:$A$26,1))+($C527-INDEX('Shultis Faw'!$A$2:$A$26,MATCH($C527,'Shultis Faw'!$A$2:$A$26,1)))*(INDEX('Shultis Faw'!$B$2:$B$26,MATCH($C527,'Shultis Faw'!$A$2:$A$26,1)+1)-INDEX('Shultis Faw'!$B$2:$B$26,MATCH($C527,'Shultis Faw'!$A$2:$A$26,1)))/(INDEX('Shultis Faw'!$A$2:$A$26,MATCH($C527,'Shultis Faw'!$A$2:$A$26,1)+1)-INDEX('Shultis Faw'!$A$2:$A$26,MATCH($C527,'Shultis Faw'!$A$2:$A$26,1))),$C527*'Shultis Faw'!$B$2/'Shultis Faw'!$A$2)</f>
        <v>-8.29984E-2</v>
      </c>
      <c r="L527" s="83">
        <f>_xlfn.IFNA(INDEX('Shultis Faw'!$E$2:$E$26,MATCH($C527,'Shultis Faw'!$A$2:$A$26,1))+($C527-INDEX('Shultis Faw'!$A$2:$A$26,MATCH($C527,'Shultis Faw'!$A$2:$A$26,1)))*(INDEX('Shultis Faw'!$E$2:$E$26,MATCH($C527,'Shultis Faw'!$A$2:$A$26,1)+1)-INDEX('Shultis Faw'!$E$2:$E$26,MATCH($C527,'Shultis Faw'!$A$2:$A$26,1)))/(INDEX('Shultis Faw'!$A$2:$A$26,MATCH($C527,'Shultis Faw'!$A$2:$A$26,1)+1)-INDEX('Shultis Faw'!$A$2:$A$26,MATCH($C527,'Shultis Faw'!$A$2:$A$26,1))),$C527*'Shultis Faw'!$E$2/'Shultis Faw'!$A$2)</f>
        <v>3.5244480000000002E-2</v>
      </c>
      <c r="M527" s="83">
        <f>_xlfn.IFNA(INDEX('Shultis Faw'!$F$2:$F$26,MATCH($C527,'Shultis Faw'!$A$2:$A$26,1))+($C527-INDEX('Shultis Faw'!$A$2:$A$26,MATCH($C527,'Shultis Faw'!$A$2:$A$26,1)))*(INDEX('Shultis Faw'!$F$2:$F$26,MATCH($C527,'Shultis Faw'!$A$2:$A$26,1)+1)-INDEX('Shultis Faw'!$F$2:$F$26,MATCH($C527,'Shultis Faw'!$A$2:$A$26,1)))/(INDEX('Shultis Faw'!$A$2:$A$26,MATCH($C527,'Shultis Faw'!$A$2:$A$26,1)+1)-INDEX('Shultis Faw'!$A$2:$A$26,MATCH($C527,'Shultis Faw'!$A$2:$A$26,1))),$C527*'Shultis Faw'!$F$2/'Shultis Faw'!$A$2)</f>
        <v>14.278080000000001</v>
      </c>
      <c r="N527" s="83">
        <f>J527*(H527*'Externe blootstelling'!$D$23/2)^K527+L527*(TANH(((H527*'Externe blootstelling'!$D$23)/(2*M527))-2)-TANH(-2))/(1-TANH(-2))</f>
        <v>1.4061455412991282</v>
      </c>
      <c r="O527" s="83">
        <f>IF(N527=1,1+(I527-1)*H527*'Externe blootstelling'!$D$23/2,1+(I527-1)*(N527^(H527*'Externe blootstelling'!$D$23/2)-1)/(N527-1))</f>
        <v>2.0893029978101869</v>
      </c>
      <c r="P527" s="67">
        <f>G527*EXP(-H527*'Externe blootstelling'!$D$23/2)*O527</f>
        <v>2.3304758489186368E-5</v>
      </c>
      <c r="Q527" s="68"/>
    </row>
    <row r="528" spans="1:17" x14ac:dyDescent="0.2">
      <c r="A528" s="217"/>
      <c r="B528" s="64" t="s">
        <v>104</v>
      </c>
      <c r="C528" s="66">
        <v>1.1323099999999999</v>
      </c>
      <c r="D528" s="66">
        <f t="shared" si="37"/>
        <v>1.811696E-13</v>
      </c>
      <c r="E528" s="66">
        <v>8.3000000000000001E-4</v>
      </c>
      <c r="F528" s="66">
        <f>_xlfn.IFNA(INDEX('hp (pSv cm2)'!$B$2:$B$52,MATCH($C528,'hp (pSv cm2)'!$A$2:$A$52,1))+($C528-INDEX('hp (pSv cm2)'!$A$2:$A$52,MATCH($C528,'hp (pSv cm2)'!$A$2:$A$52,1)))*(INDEX('hp (pSv cm2)'!$B$2:$B$52,MATCH($C528,'hp (pSv cm2)'!$A$2:$A$52,1)+1)-INDEX('hp (pSv cm2)'!$B$2:$B$52,MATCH($C528,'hp (pSv cm2)'!$A$2:$A$52,1)))/(INDEX('hp (pSv cm2)'!$A$2:$A$52,MATCH($C528,'hp (pSv cm2)'!$A$2:$A$52,1)+1)-INDEX('hp (pSv cm2)'!$A$2:$A$52,MATCH($C528,'hp (pSv cm2)'!$A$2:$A$52,1))),$C528*'hp (pSv cm2)'!$B$2/'hp (pSv cm2)'!$A$2)</f>
        <v>4.9213306000000001</v>
      </c>
      <c r="G528" s="67">
        <f t="shared" si="38"/>
        <v>4.0847043979999999E-3</v>
      </c>
      <c r="H528" s="83">
        <f>_xlfn.IFNA(0.997*(INDEX('Mass attenuation coefficients'!$B$2:$B$37,MATCH($C528,'Mass attenuation coefficients'!$A$2:$A$37,1))+($C528-INDEX('Mass attenuation coefficients'!$A$2:$A$37,MATCH($C528,'Mass attenuation coefficients'!$A$2:$A$37,1)))*(INDEX('Mass attenuation coefficients'!$B$2:$B$37,MATCH($C528,'Mass attenuation coefficients'!$A$2:$A$37,1)+1)-INDEX('Mass attenuation coefficients'!$B$2:$B$37,MATCH($C528,'Mass attenuation coefficients'!$A$2:$A$37,1)))/(INDEX('Mass attenuation coefficients'!$A$2:$A$37,MATCH($C528,'Mass attenuation coefficients'!$A$2:$A$37,1)+1)-INDEX('Mass attenuation coefficients'!$A$2:$A$37,MATCH($C528,'Mass attenuation coefficients'!$A$2:$A$37,1)))),0.997*$C528*'Mass attenuation coefficients'!$B$2/'Mass attenuation coefficients'!$A$2)</f>
        <v>6.65557244228E-2</v>
      </c>
      <c r="I528" s="83">
        <f>_xlfn.IFNA(INDEX('Shultis Faw'!$C$2:$C$26,MATCH($C528,'Shultis Faw'!$A$2:$A$26,1))+($C528-INDEX('Shultis Faw'!$A$2:$A$26,MATCH($C528,'Shultis Faw'!$A$2:$A$26,1)))*(INDEX('Shultis Faw'!$C$2:$C$26,MATCH($C528,'Shultis Faw'!$A$2:$A$26,1)+1)-INDEX('Shultis Faw'!$C$2:$C$26,MATCH($C528,'Shultis Faw'!$A$2:$A$26,1)))/(INDEX('Shultis Faw'!$A$2:$A$26,MATCH($C528,'Shultis Faw'!$A$2:$A$26,1)+1)-INDEX('Shultis Faw'!$A$2:$A$26,MATCH($C528,'Shultis Faw'!$A$2:$A$26,1))),$C528*'Shultis Faw'!$C$2/'Shultis Faw'!$A$2)</f>
        <v>2.0596023200000002</v>
      </c>
      <c r="J528" s="83">
        <f>_xlfn.IFNA(INDEX('Shultis Faw'!$D$2:$D$26,MATCH($C528,'Shultis Faw'!$A$2:$A$26,1))+($C528-INDEX('Shultis Faw'!$A$2:$A$26,MATCH($C528,'Shultis Faw'!$A$2:$A$26,1)))*(INDEX('Shultis Faw'!$D$2:$D$26,MATCH($C528,'Shultis Faw'!$A$2:$A$26,1)+1)-INDEX('Shultis Faw'!$D$2:$D$26,MATCH($C528,'Shultis Faw'!$A$2:$A$26,1)))/(INDEX('Shultis Faw'!$A$2:$A$26,MATCH($C528,'Shultis Faw'!$A$2:$A$26,1)+1)-INDEX('Shultis Faw'!$A$2:$A$26,MATCH($C528,'Shultis Faw'!$A$2:$A$26,1))),$C528*'Shultis Faw'!$D$2/'Shultis Faw'!$A$2)</f>
        <v>1.3954853600000001</v>
      </c>
      <c r="K528" s="83">
        <f>_xlfn.IFNA(INDEX('Shultis Faw'!$B$2:$B$26,MATCH($C528,'Shultis Faw'!$A$2:$A$26,1))+($C528-INDEX('Shultis Faw'!$A$2:$A$26,MATCH($C528,'Shultis Faw'!$A$2:$A$26,1)))*(INDEX('Shultis Faw'!$B$2:$B$26,MATCH($C528,'Shultis Faw'!$A$2:$A$26,1)+1)-INDEX('Shultis Faw'!$B$2:$B$26,MATCH($C528,'Shultis Faw'!$A$2:$A$26,1)))/(INDEX('Shultis Faw'!$A$2:$A$26,MATCH($C528,'Shultis Faw'!$A$2:$A$26,1)+1)-INDEX('Shultis Faw'!$A$2:$A$26,MATCH($C528,'Shultis Faw'!$A$2:$A$26,1))),$C528*'Shultis Faw'!$B$2/'Shultis Faw'!$A$2)</f>
        <v>-8.0796779999999999E-2</v>
      </c>
      <c r="L528" s="83">
        <f>_xlfn.IFNA(INDEX('Shultis Faw'!$E$2:$E$26,MATCH($C528,'Shultis Faw'!$A$2:$A$26,1))+($C528-INDEX('Shultis Faw'!$A$2:$A$26,MATCH($C528,'Shultis Faw'!$A$2:$A$26,1)))*(INDEX('Shultis Faw'!$E$2:$E$26,MATCH($C528,'Shultis Faw'!$A$2:$A$26,1)+1)-INDEX('Shultis Faw'!$E$2:$E$26,MATCH($C528,'Shultis Faw'!$A$2:$A$26,1)))/(INDEX('Shultis Faw'!$A$2:$A$26,MATCH($C528,'Shultis Faw'!$A$2:$A$26,1)+1)-INDEX('Shultis Faw'!$A$2:$A$26,MATCH($C528,'Shultis Faw'!$A$2:$A$26,1))),$C528*'Shultis Faw'!$E$2/'Shultis Faw'!$A$2)</f>
        <v>3.4307016000000003E-2</v>
      </c>
      <c r="M528" s="83">
        <f>_xlfn.IFNA(INDEX('Shultis Faw'!$F$2:$F$26,MATCH($C528,'Shultis Faw'!$A$2:$A$26,1))+($C528-INDEX('Shultis Faw'!$A$2:$A$26,MATCH($C528,'Shultis Faw'!$A$2:$A$26,1)))*(INDEX('Shultis Faw'!$F$2:$F$26,MATCH($C528,'Shultis Faw'!$A$2:$A$26,1)+1)-INDEX('Shultis Faw'!$F$2:$F$26,MATCH($C528,'Shultis Faw'!$A$2:$A$26,1)))/(INDEX('Shultis Faw'!$A$2:$A$26,MATCH($C528,'Shultis Faw'!$A$2:$A$26,1)+1)-INDEX('Shultis Faw'!$A$2:$A$26,MATCH($C528,'Shultis Faw'!$A$2:$A$26,1))),$C528*'Shultis Faw'!$F$2/'Shultis Faw'!$A$2)</f>
        <v>14.299386</v>
      </c>
      <c r="N528" s="83">
        <f>J528*(H528*'Externe blootstelling'!$D$23/2)^K528+L528*(TANH(((H528*'Externe blootstelling'!$D$23)/(2*M528))-2)-TANH(-2))/(1-TANH(-2))</f>
        <v>1.3957653794148754</v>
      </c>
      <c r="O528" s="83">
        <f>IF(N528=1,1+(I528-1)*H528*'Externe blootstelling'!$D$23/2,1+(I528-1)*(N528^(H528*'Externe blootstelling'!$D$23/2)-1)/(N528-1))</f>
        <v>2.0575292844780151</v>
      </c>
      <c r="P528" s="67">
        <f>G528*EXP(-H528*'Externe blootstelling'!$D$23/2)*O528</f>
        <v>3.0969550383182914E-3</v>
      </c>
      <c r="Q528" s="68"/>
    </row>
    <row r="529" spans="1:17" x14ac:dyDescent="0.2">
      <c r="A529" s="217"/>
      <c r="B529" s="64" t="s">
        <v>104</v>
      </c>
      <c r="C529" s="66">
        <v>1.1496999999999999</v>
      </c>
      <c r="D529" s="66">
        <f t="shared" si="37"/>
        <v>1.8395199999999998E-13</v>
      </c>
      <c r="E529" s="66">
        <v>1.4999999999999999E-4</v>
      </c>
      <c r="F529" s="66">
        <f>_xlfn.IFNA(INDEX('hp (pSv cm2)'!$B$2:$B$52,MATCH($C529,'hp (pSv cm2)'!$A$2:$A$52,1))+($C529-INDEX('hp (pSv cm2)'!$A$2:$A$52,MATCH($C529,'hp (pSv cm2)'!$A$2:$A$52,1)))*(INDEX('hp (pSv cm2)'!$B$2:$B$52,MATCH($C529,'hp (pSv cm2)'!$A$2:$A$52,1)+1)-INDEX('hp (pSv cm2)'!$B$2:$B$52,MATCH($C529,'hp (pSv cm2)'!$A$2:$A$52,1)))/(INDEX('hp (pSv cm2)'!$A$2:$A$52,MATCH($C529,'hp (pSv cm2)'!$A$2:$A$52,1)+1)-INDEX('hp (pSv cm2)'!$A$2:$A$52,MATCH($C529,'hp (pSv cm2)'!$A$2:$A$52,1))),$C529*'hp (pSv cm2)'!$B$2/'hp (pSv cm2)'!$A$2)</f>
        <v>4.9780220000000002</v>
      </c>
      <c r="G529" s="67">
        <f t="shared" si="38"/>
        <v>7.4670329999999992E-4</v>
      </c>
      <c r="H529" s="83">
        <f>_xlfn.IFNA(0.997*(INDEX('Mass attenuation coefficients'!$B$2:$B$37,MATCH($C529,'Mass attenuation coefficients'!$A$2:$A$37,1))+($C529-INDEX('Mass attenuation coefficients'!$A$2:$A$37,MATCH($C529,'Mass attenuation coefficients'!$A$2:$A$37,1)))*(INDEX('Mass attenuation coefficients'!$B$2:$B$37,MATCH($C529,'Mass attenuation coefficients'!$A$2:$A$37,1)+1)-INDEX('Mass attenuation coefficients'!$B$2:$B$37,MATCH($C529,'Mass attenuation coefficients'!$A$2:$A$37,1)))/(INDEX('Mass attenuation coefficients'!$A$2:$A$37,MATCH($C529,'Mass attenuation coefficients'!$A$2:$A$37,1)+1)-INDEX('Mass attenuation coefficients'!$A$2:$A$37,MATCH($C529,'Mass attenuation coefficients'!$A$2:$A$37,1)))),0.997*$C529*'Mass attenuation coefficients'!$B$2/'Mass attenuation coefficients'!$A$2)</f>
        <v>6.6036283035999996E-2</v>
      </c>
      <c r="I529" s="83">
        <f>_xlfn.IFNA(INDEX('Shultis Faw'!$C$2:$C$26,MATCH($C529,'Shultis Faw'!$A$2:$A$26,1))+($C529-INDEX('Shultis Faw'!$A$2:$A$26,MATCH($C529,'Shultis Faw'!$A$2:$A$26,1)))*(INDEX('Shultis Faw'!$C$2:$C$26,MATCH($C529,'Shultis Faw'!$A$2:$A$26,1)+1)-INDEX('Shultis Faw'!$C$2:$C$26,MATCH($C529,'Shultis Faw'!$A$2:$A$26,1)))/(INDEX('Shultis Faw'!$A$2:$A$26,MATCH($C529,'Shultis Faw'!$A$2:$A$26,1)+1)-INDEX('Shultis Faw'!$A$2:$A$26,MATCH($C529,'Shultis Faw'!$A$2:$A$26,1))),$C529*'Shultis Faw'!$C$2/'Shultis Faw'!$A$2)</f>
        <v>2.0538984</v>
      </c>
      <c r="J529" s="83">
        <f>_xlfn.IFNA(INDEX('Shultis Faw'!$D$2:$D$26,MATCH($C529,'Shultis Faw'!$A$2:$A$26,1))+($C529-INDEX('Shultis Faw'!$A$2:$A$26,MATCH($C529,'Shultis Faw'!$A$2:$A$26,1)))*(INDEX('Shultis Faw'!$D$2:$D$26,MATCH($C529,'Shultis Faw'!$A$2:$A$26,1)+1)-INDEX('Shultis Faw'!$D$2:$D$26,MATCH($C529,'Shultis Faw'!$A$2:$A$26,1)))/(INDEX('Shultis Faw'!$A$2:$A$26,MATCH($C529,'Shultis Faw'!$A$2:$A$26,1)+1)-INDEX('Shultis Faw'!$A$2:$A$26,MATCH($C529,'Shultis Faw'!$A$2:$A$26,1))),$C529*'Shultis Faw'!$D$2/'Shultis Faw'!$A$2)</f>
        <v>1.3895032</v>
      </c>
      <c r="K529" s="83">
        <f>_xlfn.IFNA(INDEX('Shultis Faw'!$B$2:$B$26,MATCH($C529,'Shultis Faw'!$A$2:$A$26,1))+($C529-INDEX('Shultis Faw'!$A$2:$A$26,MATCH($C529,'Shultis Faw'!$A$2:$A$26,1)))*(INDEX('Shultis Faw'!$B$2:$B$26,MATCH($C529,'Shultis Faw'!$A$2:$A$26,1)+1)-INDEX('Shultis Faw'!$B$2:$B$26,MATCH($C529,'Shultis Faw'!$A$2:$A$26,1)))/(INDEX('Shultis Faw'!$A$2:$A$26,MATCH($C529,'Shultis Faw'!$A$2:$A$26,1)+1)-INDEX('Shultis Faw'!$A$2:$A$26,MATCH($C529,'Shultis Faw'!$A$2:$A$26,1))),$C529*'Shultis Faw'!$B$2/'Shultis Faw'!$A$2)</f>
        <v>-7.9718600000000001E-2</v>
      </c>
      <c r="L529" s="83">
        <f>_xlfn.IFNA(INDEX('Shultis Faw'!$E$2:$E$26,MATCH($C529,'Shultis Faw'!$A$2:$A$26,1))+($C529-INDEX('Shultis Faw'!$A$2:$A$26,MATCH($C529,'Shultis Faw'!$A$2:$A$26,1)))*(INDEX('Shultis Faw'!$E$2:$E$26,MATCH($C529,'Shultis Faw'!$A$2:$A$26,1)+1)-INDEX('Shultis Faw'!$E$2:$E$26,MATCH($C529,'Shultis Faw'!$A$2:$A$26,1)))/(INDEX('Shultis Faw'!$A$2:$A$26,MATCH($C529,'Shultis Faw'!$A$2:$A$26,1)+1)-INDEX('Shultis Faw'!$A$2:$A$26,MATCH($C529,'Shultis Faw'!$A$2:$A$26,1))),$C529*'Shultis Faw'!$E$2/'Shultis Faw'!$A$2)</f>
        <v>3.3847920000000004E-2</v>
      </c>
      <c r="M529" s="83">
        <f>_xlfn.IFNA(INDEX('Shultis Faw'!$F$2:$F$26,MATCH($C529,'Shultis Faw'!$A$2:$A$26,1))+($C529-INDEX('Shultis Faw'!$A$2:$A$26,MATCH($C529,'Shultis Faw'!$A$2:$A$26,1)))*(INDEX('Shultis Faw'!$F$2:$F$26,MATCH($C529,'Shultis Faw'!$A$2:$A$26,1)+1)-INDEX('Shultis Faw'!$F$2:$F$26,MATCH($C529,'Shultis Faw'!$A$2:$A$26,1)))/(INDEX('Shultis Faw'!$A$2:$A$26,MATCH($C529,'Shultis Faw'!$A$2:$A$26,1)+1)-INDEX('Shultis Faw'!$A$2:$A$26,MATCH($C529,'Shultis Faw'!$A$2:$A$26,1))),$C529*'Shultis Faw'!$F$2/'Shultis Faw'!$A$2)</f>
        <v>14.30982</v>
      </c>
      <c r="N529" s="83">
        <f>J529*(H529*'Externe blootstelling'!$D$23/2)^K529+L529*(TANH(((H529*'Externe blootstelling'!$D$23)/(2*M529))-2)-TANH(-2))/(1-TANH(-2))</f>
        <v>1.3906461444145528</v>
      </c>
      <c r="O529" s="83">
        <f>IF(N529=1,1+(I529-1)*H529*'Externe blootstelling'!$D$23/2,1+(I529-1)*(N529^(H529*'Externe blootstelling'!$D$23/2)-1)/(N529-1))</f>
        <v>2.0422179318987173</v>
      </c>
      <c r="P529" s="67">
        <f>G529*EXP(-H529*'Externe blootstelling'!$D$23/2)*O529</f>
        <v>5.6632046509011717E-4</v>
      </c>
      <c r="Q529" s="68"/>
    </row>
    <row r="530" spans="1:17" x14ac:dyDescent="0.2">
      <c r="A530" s="217"/>
      <c r="B530" s="64" t="s">
        <v>104</v>
      </c>
      <c r="C530" s="66">
        <v>1.1505000000000001</v>
      </c>
      <c r="D530" s="66">
        <f t="shared" si="37"/>
        <v>1.8407999999999998E-13</v>
      </c>
      <c r="E530" s="66">
        <v>1.4999999999999999E-4</v>
      </c>
      <c r="F530" s="66">
        <f>_xlfn.IFNA(INDEX('hp (pSv cm2)'!$B$2:$B$52,MATCH($C530,'hp (pSv cm2)'!$A$2:$A$52,1))+($C530-INDEX('hp (pSv cm2)'!$A$2:$A$52,MATCH($C530,'hp (pSv cm2)'!$A$2:$A$52,1)))*(INDEX('hp (pSv cm2)'!$B$2:$B$52,MATCH($C530,'hp (pSv cm2)'!$A$2:$A$52,1)+1)-INDEX('hp (pSv cm2)'!$B$2:$B$52,MATCH($C530,'hp (pSv cm2)'!$A$2:$A$52,1)))/(INDEX('hp (pSv cm2)'!$A$2:$A$52,MATCH($C530,'hp (pSv cm2)'!$A$2:$A$52,1)+1)-INDEX('hp (pSv cm2)'!$A$2:$A$52,MATCH($C530,'hp (pSv cm2)'!$A$2:$A$52,1))),$C530*'hp (pSv cm2)'!$B$2/'hp (pSv cm2)'!$A$2)</f>
        <v>4.9806300000000006</v>
      </c>
      <c r="G530" s="67">
        <f t="shared" si="38"/>
        <v>7.4709449999999997E-4</v>
      </c>
      <c r="H530" s="83">
        <f>_xlfn.IFNA(0.997*(INDEX('Mass attenuation coefficients'!$B$2:$B$37,MATCH($C530,'Mass attenuation coefficients'!$A$2:$A$37,1))+($C530-INDEX('Mass attenuation coefficients'!$A$2:$A$37,MATCH($C530,'Mass attenuation coefficients'!$A$2:$A$37,1)))*(INDEX('Mass attenuation coefficients'!$B$2:$B$37,MATCH($C530,'Mass attenuation coefficients'!$A$2:$A$37,1)+1)-INDEX('Mass attenuation coefficients'!$B$2:$B$37,MATCH($C530,'Mass attenuation coefficients'!$A$2:$A$37,1)))/(INDEX('Mass attenuation coefficients'!$A$2:$A$37,MATCH($C530,'Mass attenuation coefficients'!$A$2:$A$37,1)+1)-INDEX('Mass attenuation coefficients'!$A$2:$A$37,MATCH($C530,'Mass attenuation coefficients'!$A$2:$A$37,1)))),0.997*$C530*'Mass attenuation coefficients'!$B$2/'Mass attenuation coefficients'!$A$2)</f>
        <v>6.6012386940000001E-2</v>
      </c>
      <c r="I530" s="83">
        <f>_xlfn.IFNA(INDEX('Shultis Faw'!$C$2:$C$26,MATCH($C530,'Shultis Faw'!$A$2:$A$26,1))+($C530-INDEX('Shultis Faw'!$A$2:$A$26,MATCH($C530,'Shultis Faw'!$A$2:$A$26,1)))*(INDEX('Shultis Faw'!$C$2:$C$26,MATCH($C530,'Shultis Faw'!$A$2:$A$26,1)+1)-INDEX('Shultis Faw'!$C$2:$C$26,MATCH($C530,'Shultis Faw'!$A$2:$A$26,1)))/(INDEX('Shultis Faw'!$A$2:$A$26,MATCH($C530,'Shultis Faw'!$A$2:$A$26,1)+1)-INDEX('Shultis Faw'!$A$2:$A$26,MATCH($C530,'Shultis Faw'!$A$2:$A$26,1))),$C530*'Shultis Faw'!$C$2/'Shultis Faw'!$A$2)</f>
        <v>2.053636</v>
      </c>
      <c r="J530" s="83">
        <f>_xlfn.IFNA(INDEX('Shultis Faw'!$D$2:$D$26,MATCH($C530,'Shultis Faw'!$A$2:$A$26,1))+($C530-INDEX('Shultis Faw'!$A$2:$A$26,MATCH($C530,'Shultis Faw'!$A$2:$A$26,1)))*(INDEX('Shultis Faw'!$D$2:$D$26,MATCH($C530,'Shultis Faw'!$A$2:$A$26,1)+1)-INDEX('Shultis Faw'!$D$2:$D$26,MATCH($C530,'Shultis Faw'!$A$2:$A$26,1)))/(INDEX('Shultis Faw'!$A$2:$A$26,MATCH($C530,'Shultis Faw'!$A$2:$A$26,1)+1)-INDEX('Shultis Faw'!$A$2:$A$26,MATCH($C530,'Shultis Faw'!$A$2:$A$26,1))),$C530*'Shultis Faw'!$D$2/'Shultis Faw'!$A$2)</f>
        <v>1.3892279999999999</v>
      </c>
      <c r="K530" s="83">
        <f>_xlfn.IFNA(INDEX('Shultis Faw'!$B$2:$B$26,MATCH($C530,'Shultis Faw'!$A$2:$A$26,1))+($C530-INDEX('Shultis Faw'!$A$2:$A$26,MATCH($C530,'Shultis Faw'!$A$2:$A$26,1)))*(INDEX('Shultis Faw'!$B$2:$B$26,MATCH($C530,'Shultis Faw'!$A$2:$A$26,1)+1)-INDEX('Shultis Faw'!$B$2:$B$26,MATCH($C530,'Shultis Faw'!$A$2:$A$26,1)))/(INDEX('Shultis Faw'!$A$2:$A$26,MATCH($C530,'Shultis Faw'!$A$2:$A$26,1)+1)-INDEX('Shultis Faw'!$A$2:$A$26,MATCH($C530,'Shultis Faw'!$A$2:$A$26,1))),$C530*'Shultis Faw'!$B$2/'Shultis Faw'!$A$2)</f>
        <v>-7.966899999999999E-2</v>
      </c>
      <c r="L530" s="83">
        <f>_xlfn.IFNA(INDEX('Shultis Faw'!$E$2:$E$26,MATCH($C530,'Shultis Faw'!$A$2:$A$26,1))+($C530-INDEX('Shultis Faw'!$A$2:$A$26,MATCH($C530,'Shultis Faw'!$A$2:$A$26,1)))*(INDEX('Shultis Faw'!$E$2:$E$26,MATCH($C530,'Shultis Faw'!$A$2:$A$26,1)+1)-INDEX('Shultis Faw'!$E$2:$E$26,MATCH($C530,'Shultis Faw'!$A$2:$A$26,1)))/(INDEX('Shultis Faw'!$A$2:$A$26,MATCH($C530,'Shultis Faw'!$A$2:$A$26,1)+1)-INDEX('Shultis Faw'!$A$2:$A$26,MATCH($C530,'Shultis Faw'!$A$2:$A$26,1))),$C530*'Shultis Faw'!$E$2/'Shultis Faw'!$A$2)</f>
        <v>3.3826799999999997E-2</v>
      </c>
      <c r="M530" s="83">
        <f>_xlfn.IFNA(INDEX('Shultis Faw'!$F$2:$F$26,MATCH($C530,'Shultis Faw'!$A$2:$A$26,1))+($C530-INDEX('Shultis Faw'!$A$2:$A$26,MATCH($C530,'Shultis Faw'!$A$2:$A$26,1)))*(INDEX('Shultis Faw'!$F$2:$F$26,MATCH($C530,'Shultis Faw'!$A$2:$A$26,1)+1)-INDEX('Shultis Faw'!$F$2:$F$26,MATCH($C530,'Shultis Faw'!$A$2:$A$26,1)))/(INDEX('Shultis Faw'!$A$2:$A$26,MATCH($C530,'Shultis Faw'!$A$2:$A$26,1)+1)-INDEX('Shultis Faw'!$A$2:$A$26,MATCH($C530,'Shultis Faw'!$A$2:$A$26,1))),$C530*'Shultis Faw'!$F$2/'Shultis Faw'!$A$2)</f>
        <v>14.3103</v>
      </c>
      <c r="N530" s="83">
        <f>J530*(H530*'Externe blootstelling'!$D$23/2)^K530+L530*(TANH(((H530*'Externe blootstelling'!$D$23)/(2*M530))-2)-TANH(-2))/(1-TANH(-2))</f>
        <v>1.3904100750445805</v>
      </c>
      <c r="O530" s="83">
        <f>IF(N530=1,1+(I530-1)*H530*'Externe blootstelling'!$D$23/2,1+(I530-1)*(N530^(H530*'Externe blootstelling'!$D$23/2)-1)/(N530-1))</f>
        <v>2.0415174543089276</v>
      </c>
      <c r="P530" s="67">
        <f>G530*EXP(-H530*'Externe blootstelling'!$D$23/2)*O530</f>
        <v>5.6662587899632209E-4</v>
      </c>
      <c r="Q530" s="68"/>
    </row>
    <row r="531" spans="1:17" x14ac:dyDescent="0.2">
      <c r="A531" s="217"/>
      <c r="B531" s="64" t="s">
        <v>104</v>
      </c>
      <c r="C531" s="66">
        <v>1.1745699999999999</v>
      </c>
      <c r="D531" s="66">
        <f t="shared" si="37"/>
        <v>1.879312E-13</v>
      </c>
      <c r="E531" s="66">
        <v>1.7999999999999998E-4</v>
      </c>
      <c r="F531" s="66">
        <f>_xlfn.IFNA(INDEX('hp (pSv cm2)'!$B$2:$B$52,MATCH($C531,'hp (pSv cm2)'!$A$2:$A$52,1))+($C531-INDEX('hp (pSv cm2)'!$A$2:$A$52,MATCH($C531,'hp (pSv cm2)'!$A$2:$A$52,1)))*(INDEX('hp (pSv cm2)'!$B$2:$B$52,MATCH($C531,'hp (pSv cm2)'!$A$2:$A$52,1)+1)-INDEX('hp (pSv cm2)'!$B$2:$B$52,MATCH($C531,'hp (pSv cm2)'!$A$2:$A$52,1)))/(INDEX('hp (pSv cm2)'!$A$2:$A$52,MATCH($C531,'hp (pSv cm2)'!$A$2:$A$52,1)+1)-INDEX('hp (pSv cm2)'!$A$2:$A$52,MATCH($C531,'hp (pSv cm2)'!$A$2:$A$52,1))),$C531*'hp (pSv cm2)'!$B$2/'hp (pSv cm2)'!$A$2)</f>
        <v>5.0590982000000002</v>
      </c>
      <c r="G531" s="67">
        <f t="shared" si="38"/>
        <v>9.1063767599999996E-4</v>
      </c>
      <c r="H531" s="83">
        <f>_xlfn.IFNA(0.997*(INDEX('Mass attenuation coefficients'!$B$2:$B$37,MATCH($C531,'Mass attenuation coefficients'!$A$2:$A$37,1))+($C531-INDEX('Mass attenuation coefficients'!$A$2:$A$37,MATCH($C531,'Mass attenuation coefficients'!$A$2:$A$37,1)))*(INDEX('Mass attenuation coefficients'!$B$2:$B$37,MATCH($C531,'Mass attenuation coefficients'!$A$2:$A$37,1)+1)-INDEX('Mass attenuation coefficients'!$B$2:$B$37,MATCH($C531,'Mass attenuation coefficients'!$A$2:$A$37,1)))/(INDEX('Mass attenuation coefficients'!$A$2:$A$37,MATCH($C531,'Mass attenuation coefficients'!$A$2:$A$37,1)+1)-INDEX('Mass attenuation coefficients'!$A$2:$A$37,MATCH($C531,'Mass attenuation coefficients'!$A$2:$A$37,1)))),0.997*$C531*'Mass attenuation coefficients'!$B$2/'Mass attenuation coefficients'!$A$2)</f>
        <v>6.5293413151599991E-2</v>
      </c>
      <c r="I531" s="83">
        <f>_xlfn.IFNA(INDEX('Shultis Faw'!$C$2:$C$26,MATCH($C531,'Shultis Faw'!$A$2:$A$26,1))+($C531-INDEX('Shultis Faw'!$A$2:$A$26,MATCH($C531,'Shultis Faw'!$A$2:$A$26,1)))*(INDEX('Shultis Faw'!$C$2:$C$26,MATCH($C531,'Shultis Faw'!$A$2:$A$26,1)+1)-INDEX('Shultis Faw'!$C$2:$C$26,MATCH($C531,'Shultis Faw'!$A$2:$A$26,1)))/(INDEX('Shultis Faw'!$A$2:$A$26,MATCH($C531,'Shultis Faw'!$A$2:$A$26,1)+1)-INDEX('Shultis Faw'!$A$2:$A$26,MATCH($C531,'Shultis Faw'!$A$2:$A$26,1))),$C531*'Shultis Faw'!$C$2/'Shultis Faw'!$A$2)</f>
        <v>2.0457410400000002</v>
      </c>
      <c r="J531" s="83">
        <f>_xlfn.IFNA(INDEX('Shultis Faw'!$D$2:$D$26,MATCH($C531,'Shultis Faw'!$A$2:$A$26,1))+($C531-INDEX('Shultis Faw'!$A$2:$A$26,MATCH($C531,'Shultis Faw'!$A$2:$A$26,1)))*(INDEX('Shultis Faw'!$D$2:$D$26,MATCH($C531,'Shultis Faw'!$A$2:$A$26,1)+1)-INDEX('Shultis Faw'!$D$2:$D$26,MATCH($C531,'Shultis Faw'!$A$2:$A$26,1)))/(INDEX('Shultis Faw'!$A$2:$A$26,MATCH($C531,'Shultis Faw'!$A$2:$A$26,1)+1)-INDEX('Shultis Faw'!$A$2:$A$26,MATCH($C531,'Shultis Faw'!$A$2:$A$26,1))),$C531*'Shultis Faw'!$D$2/'Shultis Faw'!$A$2)</f>
        <v>1.3809479200000001</v>
      </c>
      <c r="K531" s="83">
        <f>_xlfn.IFNA(INDEX('Shultis Faw'!$B$2:$B$26,MATCH($C531,'Shultis Faw'!$A$2:$A$26,1))+($C531-INDEX('Shultis Faw'!$A$2:$A$26,MATCH($C531,'Shultis Faw'!$A$2:$A$26,1)))*(INDEX('Shultis Faw'!$B$2:$B$26,MATCH($C531,'Shultis Faw'!$A$2:$A$26,1)+1)-INDEX('Shultis Faw'!$B$2:$B$26,MATCH($C531,'Shultis Faw'!$A$2:$A$26,1)))/(INDEX('Shultis Faw'!$A$2:$A$26,MATCH($C531,'Shultis Faw'!$A$2:$A$26,1)+1)-INDEX('Shultis Faw'!$A$2:$A$26,MATCH($C531,'Shultis Faw'!$A$2:$A$26,1))),$C531*'Shultis Faw'!$B$2/'Shultis Faw'!$A$2)</f>
        <v>-7.8176660000000009E-2</v>
      </c>
      <c r="L531" s="83">
        <f>_xlfn.IFNA(INDEX('Shultis Faw'!$E$2:$E$26,MATCH($C531,'Shultis Faw'!$A$2:$A$26,1))+($C531-INDEX('Shultis Faw'!$A$2:$A$26,MATCH($C531,'Shultis Faw'!$A$2:$A$26,1)))*(INDEX('Shultis Faw'!$E$2:$E$26,MATCH($C531,'Shultis Faw'!$A$2:$A$26,1)+1)-INDEX('Shultis Faw'!$E$2:$E$26,MATCH($C531,'Shultis Faw'!$A$2:$A$26,1)))/(INDEX('Shultis Faw'!$A$2:$A$26,MATCH($C531,'Shultis Faw'!$A$2:$A$26,1)+1)-INDEX('Shultis Faw'!$A$2:$A$26,MATCH($C531,'Shultis Faw'!$A$2:$A$26,1))),$C531*'Shultis Faw'!$E$2/'Shultis Faw'!$A$2)</f>
        <v>3.3191352E-2</v>
      </c>
      <c r="M531" s="83">
        <f>_xlfn.IFNA(INDEX('Shultis Faw'!$F$2:$F$26,MATCH($C531,'Shultis Faw'!$A$2:$A$26,1))+($C531-INDEX('Shultis Faw'!$A$2:$A$26,MATCH($C531,'Shultis Faw'!$A$2:$A$26,1)))*(INDEX('Shultis Faw'!$F$2:$F$26,MATCH($C531,'Shultis Faw'!$A$2:$A$26,1)+1)-INDEX('Shultis Faw'!$F$2:$F$26,MATCH($C531,'Shultis Faw'!$A$2:$A$26,1)))/(INDEX('Shultis Faw'!$A$2:$A$26,MATCH($C531,'Shultis Faw'!$A$2:$A$26,1)+1)-INDEX('Shultis Faw'!$A$2:$A$26,MATCH($C531,'Shultis Faw'!$A$2:$A$26,1))),$C531*'Shultis Faw'!$F$2/'Shultis Faw'!$A$2)</f>
        <v>14.324742000000001</v>
      </c>
      <c r="N531" s="83">
        <f>J531*(H531*'Externe blootstelling'!$D$23/2)^K531+L531*(TANH(((H531*'Externe blootstelling'!$D$23)/(2*M531))-2)-TANH(-2))/(1-TANH(-2))</f>
        <v>1.3832840241303481</v>
      </c>
      <c r="O531" s="83">
        <f>IF(N531=1,1+(I531-1)*H531*'Externe blootstelling'!$D$23/2,1+(I531-1)*(N531^(H531*'Externe blootstelling'!$D$23/2)-1)/(N531-1))</f>
        <v>2.0206008833908693</v>
      </c>
      <c r="P531" s="67">
        <f>G531*EXP(-H531*'Externe blootstelling'!$D$23/2)*O531</f>
        <v>6.9099931599635634E-4</v>
      </c>
      <c r="Q531" s="68"/>
    </row>
    <row r="532" spans="1:17" x14ac:dyDescent="0.2">
      <c r="A532" s="217"/>
      <c r="B532" s="64" t="s">
        <v>104</v>
      </c>
      <c r="C532" s="66">
        <v>1.19184</v>
      </c>
      <c r="D532" s="66">
        <f t="shared" si="37"/>
        <v>1.9069439999999998E-13</v>
      </c>
      <c r="E532" s="66">
        <v>1.34E-4</v>
      </c>
      <c r="F532" s="66">
        <f>_xlfn.IFNA(INDEX('hp (pSv cm2)'!$B$2:$B$52,MATCH($C532,'hp (pSv cm2)'!$A$2:$A$52,1))+($C532-INDEX('hp (pSv cm2)'!$A$2:$A$52,MATCH($C532,'hp (pSv cm2)'!$A$2:$A$52,1)))*(INDEX('hp (pSv cm2)'!$B$2:$B$52,MATCH($C532,'hp (pSv cm2)'!$A$2:$A$52,1)+1)-INDEX('hp (pSv cm2)'!$B$2:$B$52,MATCH($C532,'hp (pSv cm2)'!$A$2:$A$52,1)))/(INDEX('hp (pSv cm2)'!$A$2:$A$52,MATCH($C532,'hp (pSv cm2)'!$A$2:$A$52,1)+1)-INDEX('hp (pSv cm2)'!$A$2:$A$52,MATCH($C532,'hp (pSv cm2)'!$A$2:$A$52,1))),$C532*'hp (pSv cm2)'!$B$2/'hp (pSv cm2)'!$A$2)</f>
        <v>5.1153984000000001</v>
      </c>
      <c r="G532" s="67">
        <f t="shared" ref="G532:G556" si="39">F532*E532</f>
        <v>6.8546338560000004E-4</v>
      </c>
      <c r="H532" s="83">
        <f>_xlfn.IFNA(0.997*(INDEX('Mass attenuation coefficients'!$B$2:$B$37,MATCH($C532,'Mass attenuation coefficients'!$A$2:$A$37,1))+($C532-INDEX('Mass attenuation coefficients'!$A$2:$A$37,MATCH($C532,'Mass attenuation coefficients'!$A$2:$A$37,1)))*(INDEX('Mass attenuation coefficients'!$B$2:$B$37,MATCH($C532,'Mass attenuation coefficients'!$A$2:$A$37,1)+1)-INDEX('Mass attenuation coefficients'!$B$2:$B$37,MATCH($C532,'Mass attenuation coefficients'!$A$2:$A$37,1)))/(INDEX('Mass attenuation coefficients'!$A$2:$A$37,MATCH($C532,'Mass attenuation coefficients'!$A$2:$A$37,1)+1)-INDEX('Mass attenuation coefficients'!$A$2:$A$37,MATCH($C532,'Mass attenuation coefficients'!$A$2:$A$37,1)))),0.997*$C532*'Mass attenuation coefficients'!$B$2/'Mass attenuation coefficients'!$A$2)</f>
        <v>6.4777556179200002E-2</v>
      </c>
      <c r="I532" s="83">
        <f>_xlfn.IFNA(INDEX('Shultis Faw'!$C$2:$C$26,MATCH($C532,'Shultis Faw'!$A$2:$A$26,1))+($C532-INDEX('Shultis Faw'!$A$2:$A$26,MATCH($C532,'Shultis Faw'!$A$2:$A$26,1)))*(INDEX('Shultis Faw'!$C$2:$C$26,MATCH($C532,'Shultis Faw'!$A$2:$A$26,1)+1)-INDEX('Shultis Faw'!$C$2:$C$26,MATCH($C532,'Shultis Faw'!$A$2:$A$26,1)))/(INDEX('Shultis Faw'!$A$2:$A$26,MATCH($C532,'Shultis Faw'!$A$2:$A$26,1)+1)-INDEX('Shultis Faw'!$A$2:$A$26,MATCH($C532,'Shultis Faw'!$A$2:$A$26,1))),$C532*'Shultis Faw'!$C$2/'Shultis Faw'!$A$2)</f>
        <v>2.0400764800000002</v>
      </c>
      <c r="J532" s="83">
        <f>_xlfn.IFNA(INDEX('Shultis Faw'!$D$2:$D$26,MATCH($C532,'Shultis Faw'!$A$2:$A$26,1))+($C532-INDEX('Shultis Faw'!$A$2:$A$26,MATCH($C532,'Shultis Faw'!$A$2:$A$26,1)))*(INDEX('Shultis Faw'!$D$2:$D$26,MATCH($C532,'Shultis Faw'!$A$2:$A$26,1)+1)-INDEX('Shultis Faw'!$D$2:$D$26,MATCH($C532,'Shultis Faw'!$A$2:$A$26,1)))/(INDEX('Shultis Faw'!$A$2:$A$26,MATCH($C532,'Shultis Faw'!$A$2:$A$26,1)+1)-INDEX('Shultis Faw'!$A$2:$A$26,MATCH($C532,'Shultis Faw'!$A$2:$A$26,1))),$C532*'Shultis Faw'!$D$2/'Shultis Faw'!$A$2)</f>
        <v>1.3750070400000001</v>
      </c>
      <c r="K532" s="83">
        <f>_xlfn.IFNA(INDEX('Shultis Faw'!$B$2:$B$26,MATCH($C532,'Shultis Faw'!$A$2:$A$26,1))+($C532-INDEX('Shultis Faw'!$A$2:$A$26,MATCH($C532,'Shultis Faw'!$A$2:$A$26,1)))*(INDEX('Shultis Faw'!$B$2:$B$26,MATCH($C532,'Shultis Faw'!$A$2:$A$26,1)+1)-INDEX('Shultis Faw'!$B$2:$B$26,MATCH($C532,'Shultis Faw'!$A$2:$A$26,1)))/(INDEX('Shultis Faw'!$A$2:$A$26,MATCH($C532,'Shultis Faw'!$A$2:$A$26,1)+1)-INDEX('Shultis Faw'!$A$2:$A$26,MATCH($C532,'Shultis Faw'!$A$2:$A$26,1))),$C532*'Shultis Faw'!$B$2/'Shultis Faw'!$A$2)</f>
        <v>-7.7105919999999994E-2</v>
      </c>
      <c r="L532" s="83">
        <f>_xlfn.IFNA(INDEX('Shultis Faw'!$E$2:$E$26,MATCH($C532,'Shultis Faw'!$A$2:$A$26,1))+($C532-INDEX('Shultis Faw'!$A$2:$A$26,MATCH($C532,'Shultis Faw'!$A$2:$A$26,1)))*(INDEX('Shultis Faw'!$E$2:$E$26,MATCH($C532,'Shultis Faw'!$A$2:$A$26,1)+1)-INDEX('Shultis Faw'!$E$2:$E$26,MATCH($C532,'Shultis Faw'!$A$2:$A$26,1)))/(INDEX('Shultis Faw'!$A$2:$A$26,MATCH($C532,'Shultis Faw'!$A$2:$A$26,1)+1)-INDEX('Shultis Faw'!$A$2:$A$26,MATCH($C532,'Shultis Faw'!$A$2:$A$26,1))),$C532*'Shultis Faw'!$E$2/'Shultis Faw'!$A$2)</f>
        <v>3.2735423999999999E-2</v>
      </c>
      <c r="M532" s="83">
        <f>_xlfn.IFNA(INDEX('Shultis Faw'!$F$2:$F$26,MATCH($C532,'Shultis Faw'!$A$2:$A$26,1))+($C532-INDEX('Shultis Faw'!$A$2:$A$26,MATCH($C532,'Shultis Faw'!$A$2:$A$26,1)))*(INDEX('Shultis Faw'!$F$2:$F$26,MATCH($C532,'Shultis Faw'!$A$2:$A$26,1)+1)-INDEX('Shultis Faw'!$F$2:$F$26,MATCH($C532,'Shultis Faw'!$A$2:$A$26,1)))/(INDEX('Shultis Faw'!$A$2:$A$26,MATCH($C532,'Shultis Faw'!$A$2:$A$26,1)+1)-INDEX('Shultis Faw'!$A$2:$A$26,MATCH($C532,'Shultis Faw'!$A$2:$A$26,1))),$C532*'Shultis Faw'!$F$2/'Shultis Faw'!$A$2)</f>
        <v>14.335103999999999</v>
      </c>
      <c r="N532" s="83">
        <f>J532*(H532*'Externe blootstelling'!$D$23/2)^K532+L532*(TANH(((H532*'Externe blootstelling'!$D$23)/(2*M532))-2)-TANH(-2))/(1-TANH(-2))</f>
        <v>1.3781433522170579</v>
      </c>
      <c r="O532" s="83">
        <f>IF(N532=1,1+(I532-1)*H532*'Externe blootstelling'!$D$23/2,1+(I532-1)*(N532^(H532*'Externe blootstelling'!$D$23/2)-1)/(N532-1))</f>
        <v>2.0057816169587315</v>
      </c>
      <c r="P532" s="67">
        <f>G532*EXP(-H532*'Externe blootstelling'!$D$23/2)*O532</f>
        <v>5.2033121507976353E-4</v>
      </c>
      <c r="Q532" s="68"/>
    </row>
    <row r="533" spans="1:17" x14ac:dyDescent="0.2">
      <c r="A533" s="217"/>
      <c r="B533" s="64" t="s">
        <v>104</v>
      </c>
      <c r="C533" s="66">
        <v>1.2097899999999999</v>
      </c>
      <c r="D533" s="66">
        <f t="shared" si="37"/>
        <v>1.9356639999999999E-13</v>
      </c>
      <c r="E533" s="66">
        <v>3.0000000000000001E-5</v>
      </c>
      <c r="F533" s="66">
        <f>_xlfn.IFNA(INDEX('hp (pSv cm2)'!$B$2:$B$52,MATCH($C533,'hp (pSv cm2)'!$A$2:$A$52,1))+($C533-INDEX('hp (pSv cm2)'!$A$2:$A$52,MATCH($C533,'hp (pSv cm2)'!$A$2:$A$52,1)))*(INDEX('hp (pSv cm2)'!$B$2:$B$52,MATCH($C533,'hp (pSv cm2)'!$A$2:$A$52,1)+1)-INDEX('hp (pSv cm2)'!$B$2:$B$52,MATCH($C533,'hp (pSv cm2)'!$A$2:$A$52,1)))/(INDEX('hp (pSv cm2)'!$A$2:$A$52,MATCH($C533,'hp (pSv cm2)'!$A$2:$A$52,1)+1)-INDEX('hp (pSv cm2)'!$A$2:$A$52,MATCH($C533,'hp (pSv cm2)'!$A$2:$A$52,1))),$C533*'hp (pSv cm2)'!$B$2/'hp (pSv cm2)'!$A$2)</f>
        <v>5.1739154000000003</v>
      </c>
      <c r="G533" s="67">
        <f t="shared" si="39"/>
        <v>1.5521746200000003E-4</v>
      </c>
      <c r="H533" s="83">
        <f>_xlfn.IFNA(0.997*(INDEX('Mass attenuation coefficients'!$B$2:$B$37,MATCH($C533,'Mass attenuation coefficients'!$A$2:$A$37,1))+($C533-INDEX('Mass attenuation coefficients'!$A$2:$A$37,MATCH($C533,'Mass attenuation coefficients'!$A$2:$A$37,1)))*(INDEX('Mass attenuation coefficients'!$B$2:$B$37,MATCH($C533,'Mass attenuation coefficients'!$A$2:$A$37,1)+1)-INDEX('Mass attenuation coefficients'!$B$2:$B$37,MATCH($C533,'Mass attenuation coefficients'!$A$2:$A$37,1)))/(INDEX('Mass attenuation coefficients'!$A$2:$A$37,MATCH($C533,'Mass attenuation coefficients'!$A$2:$A$37,1)+1)-INDEX('Mass attenuation coefficients'!$A$2:$A$37,MATCH($C533,'Mass attenuation coefficients'!$A$2:$A$37,1)))),0.997*$C533*'Mass attenuation coefficients'!$B$2/'Mass attenuation coefficients'!$A$2)</f>
        <v>6.4241387525199992E-2</v>
      </c>
      <c r="I533" s="83">
        <f>_xlfn.IFNA(INDEX('Shultis Faw'!$C$2:$C$26,MATCH($C533,'Shultis Faw'!$A$2:$A$26,1))+($C533-INDEX('Shultis Faw'!$A$2:$A$26,MATCH($C533,'Shultis Faw'!$A$2:$A$26,1)))*(INDEX('Shultis Faw'!$C$2:$C$26,MATCH($C533,'Shultis Faw'!$A$2:$A$26,1)+1)-INDEX('Shultis Faw'!$C$2:$C$26,MATCH($C533,'Shultis Faw'!$A$2:$A$26,1)))/(INDEX('Shultis Faw'!$A$2:$A$26,MATCH($C533,'Shultis Faw'!$A$2:$A$26,1)+1)-INDEX('Shultis Faw'!$A$2:$A$26,MATCH($C533,'Shultis Faw'!$A$2:$A$26,1))),$C533*'Shultis Faw'!$C$2/'Shultis Faw'!$A$2)</f>
        <v>2.0341888800000003</v>
      </c>
      <c r="J533" s="83">
        <f>_xlfn.IFNA(INDEX('Shultis Faw'!$D$2:$D$26,MATCH($C533,'Shultis Faw'!$A$2:$A$26,1))+($C533-INDEX('Shultis Faw'!$A$2:$A$26,MATCH($C533,'Shultis Faw'!$A$2:$A$26,1)))*(INDEX('Shultis Faw'!$D$2:$D$26,MATCH($C533,'Shultis Faw'!$A$2:$A$26,1)+1)-INDEX('Shultis Faw'!$D$2:$D$26,MATCH($C533,'Shultis Faw'!$A$2:$A$26,1)))/(INDEX('Shultis Faw'!$A$2:$A$26,MATCH($C533,'Shultis Faw'!$A$2:$A$26,1)+1)-INDEX('Shultis Faw'!$A$2:$A$26,MATCH($C533,'Shultis Faw'!$A$2:$A$26,1))),$C533*'Shultis Faw'!$D$2/'Shultis Faw'!$A$2)</f>
        <v>1.3688322399999999</v>
      </c>
      <c r="K533" s="83">
        <f>_xlfn.IFNA(INDEX('Shultis Faw'!$B$2:$B$26,MATCH($C533,'Shultis Faw'!$A$2:$A$26,1))+($C533-INDEX('Shultis Faw'!$A$2:$A$26,MATCH($C533,'Shultis Faw'!$A$2:$A$26,1)))*(INDEX('Shultis Faw'!$B$2:$B$26,MATCH($C533,'Shultis Faw'!$A$2:$A$26,1)+1)-INDEX('Shultis Faw'!$B$2:$B$26,MATCH($C533,'Shultis Faw'!$A$2:$A$26,1)))/(INDEX('Shultis Faw'!$A$2:$A$26,MATCH($C533,'Shultis Faw'!$A$2:$A$26,1)+1)-INDEX('Shultis Faw'!$A$2:$A$26,MATCH($C533,'Shultis Faw'!$A$2:$A$26,1))),$C533*'Shultis Faw'!$B$2/'Shultis Faw'!$A$2)</f>
        <v>-7.5993020000000008E-2</v>
      </c>
      <c r="L533" s="83">
        <f>_xlfn.IFNA(INDEX('Shultis Faw'!$E$2:$E$26,MATCH($C533,'Shultis Faw'!$A$2:$A$26,1))+($C533-INDEX('Shultis Faw'!$A$2:$A$26,MATCH($C533,'Shultis Faw'!$A$2:$A$26,1)))*(INDEX('Shultis Faw'!$E$2:$E$26,MATCH($C533,'Shultis Faw'!$A$2:$A$26,1)+1)-INDEX('Shultis Faw'!$E$2:$E$26,MATCH($C533,'Shultis Faw'!$A$2:$A$26,1)))/(INDEX('Shultis Faw'!$A$2:$A$26,MATCH($C533,'Shultis Faw'!$A$2:$A$26,1)+1)-INDEX('Shultis Faw'!$A$2:$A$26,MATCH($C533,'Shultis Faw'!$A$2:$A$26,1))),$C533*'Shultis Faw'!$E$2/'Shultis Faw'!$A$2)</f>
        <v>3.2261544000000003E-2</v>
      </c>
      <c r="M533" s="83">
        <f>_xlfn.IFNA(INDEX('Shultis Faw'!$F$2:$F$26,MATCH($C533,'Shultis Faw'!$A$2:$A$26,1))+($C533-INDEX('Shultis Faw'!$A$2:$A$26,MATCH($C533,'Shultis Faw'!$A$2:$A$26,1)))*(INDEX('Shultis Faw'!$F$2:$F$26,MATCH($C533,'Shultis Faw'!$A$2:$A$26,1)+1)-INDEX('Shultis Faw'!$F$2:$F$26,MATCH($C533,'Shultis Faw'!$A$2:$A$26,1)))/(INDEX('Shultis Faw'!$A$2:$A$26,MATCH($C533,'Shultis Faw'!$A$2:$A$26,1)+1)-INDEX('Shultis Faw'!$A$2:$A$26,MATCH($C533,'Shultis Faw'!$A$2:$A$26,1))),$C533*'Shultis Faw'!$F$2/'Shultis Faw'!$A$2)</f>
        <v>14.345874</v>
      </c>
      <c r="N533" s="83">
        <f>J533*(H533*'Externe blootstelling'!$D$23/2)^K533+L533*(TANH(((H533*'Externe blootstelling'!$D$23)/(2*M533))-2)-TANH(-2))/(1-TANH(-2))</f>
        <v>1.3727756641152022</v>
      </c>
      <c r="O533" s="83">
        <f>IF(N533=1,1+(I533-1)*H533*'Externe blootstelling'!$D$23/2,1+(I533-1)*(N533^(H533*'Externe blootstelling'!$D$23/2)-1)/(N533-1))</f>
        <v>1.9905436116785782</v>
      </c>
      <c r="P533" s="67">
        <f>G533*EXP(-H533*'Externe blootstelling'!$D$23/2)*O533</f>
        <v>1.1787374270534521E-4</v>
      </c>
      <c r="Q533" s="68"/>
    </row>
    <row r="534" spans="1:17" x14ac:dyDescent="0.2">
      <c r="A534" s="217"/>
      <c r="B534" s="64" t="s">
        <v>104</v>
      </c>
      <c r="C534" s="66">
        <v>1.3024</v>
      </c>
      <c r="D534" s="66">
        <f t="shared" si="37"/>
        <v>2.0838399999999998E-13</v>
      </c>
      <c r="E534" s="66">
        <v>5.7000000000000003E-5</v>
      </c>
      <c r="F534" s="66">
        <f>_xlfn.IFNA(INDEX('hp (pSv cm2)'!$B$2:$B$52,MATCH($C534,'hp (pSv cm2)'!$A$2:$A$52,1))+($C534-INDEX('hp (pSv cm2)'!$A$2:$A$52,MATCH($C534,'hp (pSv cm2)'!$A$2:$A$52,1)))*(INDEX('hp (pSv cm2)'!$B$2:$B$52,MATCH($C534,'hp (pSv cm2)'!$A$2:$A$52,1)+1)-INDEX('hp (pSv cm2)'!$B$2:$B$52,MATCH($C534,'hp (pSv cm2)'!$A$2:$A$52,1)))/(INDEX('hp (pSv cm2)'!$A$2:$A$52,MATCH($C534,'hp (pSv cm2)'!$A$2:$A$52,1)+1)-INDEX('hp (pSv cm2)'!$A$2:$A$52,MATCH($C534,'hp (pSv cm2)'!$A$2:$A$52,1))),$C534*'hp (pSv cm2)'!$B$2/'hp (pSv cm2)'!$A$2)</f>
        <v>5.4758240000000002</v>
      </c>
      <c r="G534" s="67">
        <f t="shared" si="39"/>
        <v>3.1212196800000004E-4</v>
      </c>
      <c r="H534" s="83">
        <f>_xlfn.IFNA(0.997*(INDEX('Mass attenuation coefficients'!$B$2:$B$37,MATCH($C534,'Mass attenuation coefficients'!$A$2:$A$37,1))+($C534-INDEX('Mass attenuation coefficients'!$A$2:$A$37,MATCH($C534,'Mass attenuation coefficients'!$A$2:$A$37,1)))*(INDEX('Mass attenuation coefficients'!$B$2:$B$37,MATCH($C534,'Mass attenuation coefficients'!$A$2:$A$37,1)+1)-INDEX('Mass attenuation coefficients'!$B$2:$B$37,MATCH($C534,'Mass attenuation coefficients'!$A$2:$A$37,1)))/(INDEX('Mass attenuation coefficients'!$A$2:$A$37,MATCH($C534,'Mass attenuation coefficients'!$A$2:$A$37,1)+1)-INDEX('Mass attenuation coefficients'!$A$2:$A$37,MATCH($C534,'Mass attenuation coefficients'!$A$2:$A$37,1)))),0.997*$C534*'Mass attenuation coefficients'!$B$2/'Mass attenuation coefficients'!$A$2)</f>
        <v>6.1851263871999997E-2</v>
      </c>
      <c r="I534" s="83">
        <f>_xlfn.IFNA(INDEX('Shultis Faw'!$C$2:$C$26,MATCH($C534,'Shultis Faw'!$A$2:$A$26,1))+($C534-INDEX('Shultis Faw'!$A$2:$A$26,MATCH($C534,'Shultis Faw'!$A$2:$A$26,1)))*(INDEX('Shultis Faw'!$C$2:$C$26,MATCH($C534,'Shultis Faw'!$A$2:$A$26,1)+1)-INDEX('Shultis Faw'!$C$2:$C$26,MATCH($C534,'Shultis Faw'!$A$2:$A$26,1)))/(INDEX('Shultis Faw'!$A$2:$A$26,MATCH($C534,'Shultis Faw'!$A$2:$A$26,1)+1)-INDEX('Shultis Faw'!$A$2:$A$26,MATCH($C534,'Shultis Faw'!$A$2:$A$26,1))),$C534*'Shultis Faw'!$C$2/'Shultis Faw'!$A$2)</f>
        <v>2.0038127999999999</v>
      </c>
      <c r="J534" s="83">
        <f>_xlfn.IFNA(INDEX('Shultis Faw'!$D$2:$D$26,MATCH($C534,'Shultis Faw'!$A$2:$A$26,1))+($C534-INDEX('Shultis Faw'!$A$2:$A$26,MATCH($C534,'Shultis Faw'!$A$2:$A$26,1)))*(INDEX('Shultis Faw'!$D$2:$D$26,MATCH($C534,'Shultis Faw'!$A$2:$A$26,1)+1)-INDEX('Shultis Faw'!$D$2:$D$26,MATCH($C534,'Shultis Faw'!$A$2:$A$26,1)))/(INDEX('Shultis Faw'!$A$2:$A$26,MATCH($C534,'Shultis Faw'!$A$2:$A$26,1)+1)-INDEX('Shultis Faw'!$A$2:$A$26,MATCH($C534,'Shultis Faw'!$A$2:$A$26,1))),$C534*'Shultis Faw'!$D$2/'Shultis Faw'!$A$2)</f>
        <v>1.3369743999999999</v>
      </c>
      <c r="K534" s="83">
        <f>_xlfn.IFNA(INDEX('Shultis Faw'!$B$2:$B$26,MATCH($C534,'Shultis Faw'!$A$2:$A$26,1))+($C534-INDEX('Shultis Faw'!$A$2:$A$26,MATCH($C534,'Shultis Faw'!$A$2:$A$26,1)))*(INDEX('Shultis Faw'!$B$2:$B$26,MATCH($C534,'Shultis Faw'!$A$2:$A$26,1)+1)-INDEX('Shultis Faw'!$B$2:$B$26,MATCH($C534,'Shultis Faw'!$A$2:$A$26,1)))/(INDEX('Shultis Faw'!$A$2:$A$26,MATCH($C534,'Shultis Faw'!$A$2:$A$26,1)+1)-INDEX('Shultis Faw'!$A$2:$A$26,MATCH($C534,'Shultis Faw'!$A$2:$A$26,1))),$C534*'Shultis Faw'!$B$2/'Shultis Faw'!$A$2)</f>
        <v>-7.02512E-2</v>
      </c>
      <c r="L534" s="83">
        <f>_xlfn.IFNA(INDEX('Shultis Faw'!$E$2:$E$26,MATCH($C534,'Shultis Faw'!$A$2:$A$26,1))+($C534-INDEX('Shultis Faw'!$A$2:$A$26,MATCH($C534,'Shultis Faw'!$A$2:$A$26,1)))*(INDEX('Shultis Faw'!$E$2:$E$26,MATCH($C534,'Shultis Faw'!$A$2:$A$26,1)+1)-INDEX('Shultis Faw'!$E$2:$E$26,MATCH($C534,'Shultis Faw'!$A$2:$A$26,1)))/(INDEX('Shultis Faw'!$A$2:$A$26,MATCH($C534,'Shultis Faw'!$A$2:$A$26,1)+1)-INDEX('Shultis Faw'!$A$2:$A$26,MATCH($C534,'Shultis Faw'!$A$2:$A$26,1))),$C534*'Shultis Faw'!$E$2/'Shultis Faw'!$A$2)</f>
        <v>2.9816639999999998E-2</v>
      </c>
      <c r="M534" s="83">
        <f>_xlfn.IFNA(INDEX('Shultis Faw'!$F$2:$F$26,MATCH($C534,'Shultis Faw'!$A$2:$A$26,1))+($C534-INDEX('Shultis Faw'!$A$2:$A$26,MATCH($C534,'Shultis Faw'!$A$2:$A$26,1)))*(INDEX('Shultis Faw'!$F$2:$F$26,MATCH($C534,'Shultis Faw'!$A$2:$A$26,1)+1)-INDEX('Shultis Faw'!$F$2:$F$26,MATCH($C534,'Shultis Faw'!$A$2:$A$26,1)))/(INDEX('Shultis Faw'!$A$2:$A$26,MATCH($C534,'Shultis Faw'!$A$2:$A$26,1)+1)-INDEX('Shultis Faw'!$A$2:$A$26,MATCH($C534,'Shultis Faw'!$A$2:$A$26,1))),$C534*'Shultis Faw'!$F$2/'Shultis Faw'!$A$2)</f>
        <v>14.401439999999999</v>
      </c>
      <c r="N534" s="83">
        <f>J534*(H534*'Externe blootstelling'!$D$23/2)^K534+L534*(TANH(((H534*'Externe blootstelling'!$D$23)/(2*M534))-2)-TANH(-2))/(1-TANH(-2))</f>
        <v>1.3441082665987236</v>
      </c>
      <c r="O534" s="83">
        <f>IF(N534=1,1+(I534-1)*H534*'Externe blootstelling'!$D$23/2,1+(I534-1)*(N534^(H534*'Externe blootstelling'!$D$23/2)-1)/(N534-1))</f>
        <v>1.920945709336914</v>
      </c>
      <c r="P534" s="67">
        <f>G534*EXP(-H534*'Externe blootstelling'!$D$23/2)*O534</f>
        <v>2.3709068335376522E-4</v>
      </c>
      <c r="Q534" s="68"/>
    </row>
    <row r="535" spans="1:17" x14ac:dyDescent="0.2">
      <c r="A535" s="217"/>
      <c r="B535" s="64" t="s">
        <v>104</v>
      </c>
      <c r="C535" s="66">
        <v>1.3048599999999999</v>
      </c>
      <c r="D535" s="66">
        <f t="shared" si="37"/>
        <v>2.087776E-13</v>
      </c>
      <c r="E535" s="66">
        <v>2.8E-5</v>
      </c>
      <c r="F535" s="66">
        <f>_xlfn.IFNA(INDEX('hp (pSv cm2)'!$B$2:$B$52,MATCH($C535,'hp (pSv cm2)'!$A$2:$A$52,1))+($C535-INDEX('hp (pSv cm2)'!$A$2:$A$52,MATCH($C535,'hp (pSv cm2)'!$A$2:$A$52,1)))*(INDEX('hp (pSv cm2)'!$B$2:$B$52,MATCH($C535,'hp (pSv cm2)'!$A$2:$A$52,1)+1)-INDEX('hp (pSv cm2)'!$B$2:$B$52,MATCH($C535,'hp (pSv cm2)'!$A$2:$A$52,1)))/(INDEX('hp (pSv cm2)'!$A$2:$A$52,MATCH($C535,'hp (pSv cm2)'!$A$2:$A$52,1)+1)-INDEX('hp (pSv cm2)'!$A$2:$A$52,MATCH($C535,'hp (pSv cm2)'!$A$2:$A$52,1))),$C535*'hp (pSv cm2)'!$B$2/'hp (pSv cm2)'!$A$2)</f>
        <v>5.4838436000000002</v>
      </c>
      <c r="G535" s="67">
        <f t="shared" si="39"/>
        <v>1.535476208E-4</v>
      </c>
      <c r="H535" s="83">
        <f>_xlfn.IFNA(0.997*(INDEX('Mass attenuation coefficients'!$B$2:$B$37,MATCH($C535,'Mass attenuation coefficients'!$A$2:$A$37,1))+($C535-INDEX('Mass attenuation coefficients'!$A$2:$A$37,MATCH($C535,'Mass attenuation coefficients'!$A$2:$A$37,1)))*(INDEX('Mass attenuation coefficients'!$B$2:$B$37,MATCH($C535,'Mass attenuation coefficients'!$A$2:$A$37,1)+1)-INDEX('Mass attenuation coefficients'!$B$2:$B$37,MATCH($C535,'Mass attenuation coefficients'!$A$2:$A$37,1)))/(INDEX('Mass attenuation coefficients'!$A$2:$A$37,MATCH($C535,'Mass attenuation coefficients'!$A$2:$A$37,1)+1)-INDEX('Mass attenuation coefficients'!$A$2:$A$37,MATCH($C535,'Mass attenuation coefficients'!$A$2:$A$37,1)))),0.997*$C535*'Mass attenuation coefficients'!$B$2/'Mass attenuation coefficients'!$A$2)</f>
        <v>6.1795442240799997E-2</v>
      </c>
      <c r="I535" s="83">
        <f>_xlfn.IFNA(INDEX('Shultis Faw'!$C$2:$C$26,MATCH($C535,'Shultis Faw'!$A$2:$A$26,1))+($C535-INDEX('Shultis Faw'!$A$2:$A$26,MATCH($C535,'Shultis Faw'!$A$2:$A$26,1)))*(INDEX('Shultis Faw'!$C$2:$C$26,MATCH($C535,'Shultis Faw'!$A$2:$A$26,1)+1)-INDEX('Shultis Faw'!$C$2:$C$26,MATCH($C535,'Shultis Faw'!$A$2:$A$26,1)))/(INDEX('Shultis Faw'!$A$2:$A$26,MATCH($C535,'Shultis Faw'!$A$2:$A$26,1)+1)-INDEX('Shultis Faw'!$A$2:$A$26,MATCH($C535,'Shultis Faw'!$A$2:$A$26,1))),$C535*'Shultis Faw'!$C$2/'Shultis Faw'!$A$2)</f>
        <v>2.0030059200000001</v>
      </c>
      <c r="J535" s="83">
        <f>_xlfn.IFNA(INDEX('Shultis Faw'!$D$2:$D$26,MATCH($C535,'Shultis Faw'!$A$2:$A$26,1))+($C535-INDEX('Shultis Faw'!$A$2:$A$26,MATCH($C535,'Shultis Faw'!$A$2:$A$26,1)))*(INDEX('Shultis Faw'!$D$2:$D$26,MATCH($C535,'Shultis Faw'!$A$2:$A$26,1)+1)-INDEX('Shultis Faw'!$D$2:$D$26,MATCH($C535,'Shultis Faw'!$A$2:$A$26,1)))/(INDEX('Shultis Faw'!$A$2:$A$26,MATCH($C535,'Shultis Faw'!$A$2:$A$26,1)+1)-INDEX('Shultis Faw'!$A$2:$A$26,MATCH($C535,'Shultis Faw'!$A$2:$A$26,1))),$C535*'Shultis Faw'!$D$2/'Shultis Faw'!$A$2)</f>
        <v>1.3361281599999999</v>
      </c>
      <c r="K535" s="83">
        <f>_xlfn.IFNA(INDEX('Shultis Faw'!$B$2:$B$26,MATCH($C535,'Shultis Faw'!$A$2:$A$26,1))+($C535-INDEX('Shultis Faw'!$A$2:$A$26,MATCH($C535,'Shultis Faw'!$A$2:$A$26,1)))*(INDEX('Shultis Faw'!$B$2:$B$26,MATCH($C535,'Shultis Faw'!$A$2:$A$26,1)+1)-INDEX('Shultis Faw'!$B$2:$B$26,MATCH($C535,'Shultis Faw'!$A$2:$A$26,1)))/(INDEX('Shultis Faw'!$A$2:$A$26,MATCH($C535,'Shultis Faw'!$A$2:$A$26,1)+1)-INDEX('Shultis Faw'!$A$2:$A$26,MATCH($C535,'Shultis Faw'!$A$2:$A$26,1))),$C535*'Shultis Faw'!$B$2/'Shultis Faw'!$A$2)</f>
        <v>-7.009868000000001E-2</v>
      </c>
      <c r="L535" s="83">
        <f>_xlfn.IFNA(INDEX('Shultis Faw'!$E$2:$E$26,MATCH($C535,'Shultis Faw'!$A$2:$A$26,1))+($C535-INDEX('Shultis Faw'!$A$2:$A$26,MATCH($C535,'Shultis Faw'!$A$2:$A$26,1)))*(INDEX('Shultis Faw'!$E$2:$E$26,MATCH($C535,'Shultis Faw'!$A$2:$A$26,1)+1)-INDEX('Shultis Faw'!$E$2:$E$26,MATCH($C535,'Shultis Faw'!$A$2:$A$26,1)))/(INDEX('Shultis Faw'!$A$2:$A$26,MATCH($C535,'Shultis Faw'!$A$2:$A$26,1)+1)-INDEX('Shultis Faw'!$A$2:$A$26,MATCH($C535,'Shultis Faw'!$A$2:$A$26,1))),$C535*'Shultis Faw'!$E$2/'Shultis Faw'!$A$2)</f>
        <v>2.9751696000000001E-2</v>
      </c>
      <c r="M535" s="83">
        <f>_xlfn.IFNA(INDEX('Shultis Faw'!$F$2:$F$26,MATCH($C535,'Shultis Faw'!$A$2:$A$26,1))+($C535-INDEX('Shultis Faw'!$A$2:$A$26,MATCH($C535,'Shultis Faw'!$A$2:$A$26,1)))*(INDEX('Shultis Faw'!$F$2:$F$26,MATCH($C535,'Shultis Faw'!$A$2:$A$26,1)+1)-INDEX('Shultis Faw'!$F$2:$F$26,MATCH($C535,'Shultis Faw'!$A$2:$A$26,1)))/(INDEX('Shultis Faw'!$A$2:$A$26,MATCH($C535,'Shultis Faw'!$A$2:$A$26,1)+1)-INDEX('Shultis Faw'!$A$2:$A$26,MATCH($C535,'Shultis Faw'!$A$2:$A$26,1))),$C535*'Shultis Faw'!$F$2/'Shultis Faw'!$A$2)</f>
        <v>14.402915999999999</v>
      </c>
      <c r="N535" s="83">
        <f>J535*(H535*'Externe blootstelling'!$D$23/2)^K535+L535*(TANH(((H535*'Externe blootstelling'!$D$23)/(2*M535))-2)-TANH(-2))/(1-TANH(-2))</f>
        <v>1.3433269768258653</v>
      </c>
      <c r="O535" s="83">
        <f>IF(N535=1,1+(I535-1)*H535*'Externe blootstelling'!$D$23/2,1+(I535-1)*(N535^(H535*'Externe blootstelling'!$D$23/2)-1)/(N535-1))</f>
        <v>1.9192772984477311</v>
      </c>
      <c r="P535" s="67">
        <f>G535*EXP(-H535*'Externe blootstelling'!$D$23/2)*O535</f>
        <v>1.1663248377274227E-4</v>
      </c>
      <c r="Q535" s="68"/>
    </row>
    <row r="536" spans="1:17" x14ac:dyDescent="0.2">
      <c r="A536" s="217"/>
      <c r="B536" s="64" t="s">
        <v>104</v>
      </c>
      <c r="C536" s="66">
        <v>1.30803</v>
      </c>
      <c r="D536" s="66">
        <f t="shared" si="37"/>
        <v>2.0928479999999999E-13</v>
      </c>
      <c r="E536" s="66">
        <v>6.4999999999999997E-4</v>
      </c>
      <c r="F536" s="66">
        <f>_xlfn.IFNA(INDEX('hp (pSv cm2)'!$B$2:$B$52,MATCH($C536,'hp (pSv cm2)'!$A$2:$A$52,1))+($C536-INDEX('hp (pSv cm2)'!$A$2:$A$52,MATCH($C536,'hp (pSv cm2)'!$A$2:$A$52,1)))*(INDEX('hp (pSv cm2)'!$B$2:$B$52,MATCH($C536,'hp (pSv cm2)'!$A$2:$A$52,1)+1)-INDEX('hp (pSv cm2)'!$B$2:$B$52,MATCH($C536,'hp (pSv cm2)'!$A$2:$A$52,1)))/(INDEX('hp (pSv cm2)'!$A$2:$A$52,MATCH($C536,'hp (pSv cm2)'!$A$2:$A$52,1)+1)-INDEX('hp (pSv cm2)'!$A$2:$A$52,MATCH($C536,'hp (pSv cm2)'!$A$2:$A$52,1))),$C536*'hp (pSv cm2)'!$B$2/'hp (pSv cm2)'!$A$2)</f>
        <v>5.4941778000000001</v>
      </c>
      <c r="G536" s="67">
        <f t="shared" si="39"/>
        <v>3.5712155699999999E-3</v>
      </c>
      <c r="H536" s="83">
        <f>_xlfn.IFNA(0.997*(INDEX('Mass attenuation coefficients'!$B$2:$B$37,MATCH($C536,'Mass attenuation coefficients'!$A$2:$A$37,1))+($C536-INDEX('Mass attenuation coefficients'!$A$2:$A$37,MATCH($C536,'Mass attenuation coefficients'!$A$2:$A$37,1)))*(INDEX('Mass attenuation coefficients'!$B$2:$B$37,MATCH($C536,'Mass attenuation coefficients'!$A$2:$A$37,1)+1)-INDEX('Mass attenuation coefficients'!$B$2:$B$37,MATCH($C536,'Mass attenuation coefficients'!$A$2:$A$37,1)))/(INDEX('Mass attenuation coefficients'!$A$2:$A$37,MATCH($C536,'Mass attenuation coefficients'!$A$2:$A$37,1)+1)-INDEX('Mass attenuation coefficients'!$A$2:$A$37,MATCH($C536,'Mass attenuation coefficients'!$A$2:$A$37,1)))),0.997*$C536*'Mass attenuation coefficients'!$B$2/'Mass attenuation coefficients'!$A$2)</f>
        <v>6.1723509488399997E-2</v>
      </c>
      <c r="I536" s="83">
        <f>_xlfn.IFNA(INDEX('Shultis Faw'!$C$2:$C$26,MATCH($C536,'Shultis Faw'!$A$2:$A$26,1))+($C536-INDEX('Shultis Faw'!$A$2:$A$26,MATCH($C536,'Shultis Faw'!$A$2:$A$26,1)))*(INDEX('Shultis Faw'!$C$2:$C$26,MATCH($C536,'Shultis Faw'!$A$2:$A$26,1)+1)-INDEX('Shultis Faw'!$C$2:$C$26,MATCH($C536,'Shultis Faw'!$A$2:$A$26,1)))/(INDEX('Shultis Faw'!$A$2:$A$26,MATCH($C536,'Shultis Faw'!$A$2:$A$26,1)+1)-INDEX('Shultis Faw'!$A$2:$A$26,MATCH($C536,'Shultis Faw'!$A$2:$A$26,1))),$C536*'Shultis Faw'!$C$2/'Shultis Faw'!$A$2)</f>
        <v>2.0019661600000003</v>
      </c>
      <c r="J536" s="83">
        <f>_xlfn.IFNA(INDEX('Shultis Faw'!$D$2:$D$26,MATCH($C536,'Shultis Faw'!$A$2:$A$26,1))+($C536-INDEX('Shultis Faw'!$A$2:$A$26,MATCH($C536,'Shultis Faw'!$A$2:$A$26,1)))*(INDEX('Shultis Faw'!$D$2:$D$26,MATCH($C536,'Shultis Faw'!$A$2:$A$26,1)+1)-INDEX('Shultis Faw'!$D$2:$D$26,MATCH($C536,'Shultis Faw'!$A$2:$A$26,1)))/(INDEX('Shultis Faw'!$A$2:$A$26,MATCH($C536,'Shultis Faw'!$A$2:$A$26,1)+1)-INDEX('Shultis Faw'!$A$2:$A$26,MATCH($C536,'Shultis Faw'!$A$2:$A$26,1))),$C536*'Shultis Faw'!$D$2/'Shultis Faw'!$A$2)</f>
        <v>1.3350376799999999</v>
      </c>
      <c r="K536" s="83">
        <f>_xlfn.IFNA(INDEX('Shultis Faw'!$B$2:$B$26,MATCH($C536,'Shultis Faw'!$A$2:$A$26,1))+($C536-INDEX('Shultis Faw'!$A$2:$A$26,MATCH($C536,'Shultis Faw'!$A$2:$A$26,1)))*(INDEX('Shultis Faw'!$B$2:$B$26,MATCH($C536,'Shultis Faw'!$A$2:$A$26,1)+1)-INDEX('Shultis Faw'!$B$2:$B$26,MATCH($C536,'Shultis Faw'!$A$2:$A$26,1)))/(INDEX('Shultis Faw'!$A$2:$A$26,MATCH($C536,'Shultis Faw'!$A$2:$A$26,1)+1)-INDEX('Shultis Faw'!$A$2:$A$26,MATCH($C536,'Shultis Faw'!$A$2:$A$26,1))),$C536*'Shultis Faw'!$B$2/'Shultis Faw'!$A$2)</f>
        <v>-6.9902140000000001E-2</v>
      </c>
      <c r="L536" s="83">
        <f>_xlfn.IFNA(INDEX('Shultis Faw'!$E$2:$E$26,MATCH($C536,'Shultis Faw'!$A$2:$A$26,1))+($C536-INDEX('Shultis Faw'!$A$2:$A$26,MATCH($C536,'Shultis Faw'!$A$2:$A$26,1)))*(INDEX('Shultis Faw'!$E$2:$E$26,MATCH($C536,'Shultis Faw'!$A$2:$A$26,1)+1)-INDEX('Shultis Faw'!$E$2:$E$26,MATCH($C536,'Shultis Faw'!$A$2:$A$26,1)))/(INDEX('Shultis Faw'!$A$2:$A$26,MATCH($C536,'Shultis Faw'!$A$2:$A$26,1)+1)-INDEX('Shultis Faw'!$A$2:$A$26,MATCH($C536,'Shultis Faw'!$A$2:$A$26,1))),$C536*'Shultis Faw'!$E$2/'Shultis Faw'!$A$2)</f>
        <v>2.9668007999999999E-2</v>
      </c>
      <c r="M536" s="83">
        <f>_xlfn.IFNA(INDEX('Shultis Faw'!$F$2:$F$26,MATCH($C536,'Shultis Faw'!$A$2:$A$26,1))+($C536-INDEX('Shultis Faw'!$A$2:$A$26,MATCH($C536,'Shultis Faw'!$A$2:$A$26,1)))*(INDEX('Shultis Faw'!$F$2:$F$26,MATCH($C536,'Shultis Faw'!$A$2:$A$26,1)+1)-INDEX('Shultis Faw'!$F$2:$F$26,MATCH($C536,'Shultis Faw'!$A$2:$A$26,1)))/(INDEX('Shultis Faw'!$A$2:$A$26,MATCH($C536,'Shultis Faw'!$A$2:$A$26,1)+1)-INDEX('Shultis Faw'!$A$2:$A$26,MATCH($C536,'Shultis Faw'!$A$2:$A$26,1))),$C536*'Shultis Faw'!$F$2/'Shultis Faw'!$A$2)</f>
        <v>14.404818000000001</v>
      </c>
      <c r="N536" s="83">
        <f>J536*(H536*'Externe blootstelling'!$D$23/2)^K536+L536*(TANH(((H536*'Externe blootstelling'!$D$23)/(2*M536))-2)-TANH(-2))/(1-TANH(-2))</f>
        <v>1.3423196363836551</v>
      </c>
      <c r="O536" s="83">
        <f>IF(N536=1,1+(I536-1)*H536*'Externe blootstelling'!$D$23/2,1+(I536-1)*(N536^(H536*'Externe blootstelling'!$D$23/2)-1)/(N536-1))</f>
        <v>1.917130585244279</v>
      </c>
      <c r="P536" s="67">
        <f>G536*EXP(-H536*'Externe blootstelling'!$D$23/2)*O536</f>
        <v>2.7125332385551462E-3</v>
      </c>
      <c r="Q536" s="68"/>
    </row>
    <row r="537" spans="1:17" x14ac:dyDescent="0.2">
      <c r="A537" s="217"/>
      <c r="B537" s="64" t="s">
        <v>104</v>
      </c>
      <c r="C537" s="66">
        <v>1.32291</v>
      </c>
      <c r="D537" s="66">
        <f t="shared" si="37"/>
        <v>2.1166559999999998E-13</v>
      </c>
      <c r="E537" s="66">
        <v>1.0999999999999999E-4</v>
      </c>
      <c r="F537" s="66">
        <f>_xlfn.IFNA(INDEX('hp (pSv cm2)'!$B$2:$B$52,MATCH($C537,'hp (pSv cm2)'!$A$2:$A$52,1))+($C537-INDEX('hp (pSv cm2)'!$A$2:$A$52,MATCH($C537,'hp (pSv cm2)'!$A$2:$A$52,1)))*(INDEX('hp (pSv cm2)'!$B$2:$B$52,MATCH($C537,'hp (pSv cm2)'!$A$2:$A$52,1)+1)-INDEX('hp (pSv cm2)'!$B$2:$B$52,MATCH($C537,'hp (pSv cm2)'!$A$2:$A$52,1)))/(INDEX('hp (pSv cm2)'!$A$2:$A$52,MATCH($C537,'hp (pSv cm2)'!$A$2:$A$52,1)+1)-INDEX('hp (pSv cm2)'!$A$2:$A$52,MATCH($C537,'hp (pSv cm2)'!$A$2:$A$52,1))),$C537*'hp (pSv cm2)'!$B$2/'hp (pSv cm2)'!$A$2)</f>
        <v>5.5426866000000006</v>
      </c>
      <c r="G537" s="67">
        <f t="shared" si="39"/>
        <v>6.0969552600000001E-4</v>
      </c>
      <c r="H537" s="83">
        <f>_xlfn.IFNA(0.997*(INDEX('Mass attenuation coefficients'!$B$2:$B$37,MATCH($C537,'Mass attenuation coefficients'!$A$2:$A$37,1))+($C537-INDEX('Mass attenuation coefficients'!$A$2:$A$37,MATCH($C537,'Mass attenuation coefficients'!$A$2:$A$37,1)))*(INDEX('Mass attenuation coefficients'!$B$2:$B$37,MATCH($C537,'Mass attenuation coefficients'!$A$2:$A$37,1)+1)-INDEX('Mass attenuation coefficients'!$B$2:$B$37,MATCH($C537,'Mass attenuation coefficients'!$A$2:$A$37,1)))/(INDEX('Mass attenuation coefficients'!$A$2:$A$37,MATCH($C537,'Mass attenuation coefficients'!$A$2:$A$37,1)+1)-INDEX('Mass attenuation coefficients'!$A$2:$A$37,MATCH($C537,'Mass attenuation coefficients'!$A$2:$A$37,1)))),0.997*$C537*'Mass attenuation coefficients'!$B$2/'Mass attenuation coefficients'!$A$2)</f>
        <v>6.1385856694799998E-2</v>
      </c>
      <c r="I537" s="83">
        <f>_xlfn.IFNA(INDEX('Shultis Faw'!$C$2:$C$26,MATCH($C537,'Shultis Faw'!$A$2:$A$26,1))+($C537-INDEX('Shultis Faw'!$A$2:$A$26,MATCH($C537,'Shultis Faw'!$A$2:$A$26,1)))*(INDEX('Shultis Faw'!$C$2:$C$26,MATCH($C537,'Shultis Faw'!$A$2:$A$26,1)+1)-INDEX('Shultis Faw'!$C$2:$C$26,MATCH($C537,'Shultis Faw'!$A$2:$A$26,1)))/(INDEX('Shultis Faw'!$A$2:$A$26,MATCH($C537,'Shultis Faw'!$A$2:$A$26,1)+1)-INDEX('Shultis Faw'!$A$2:$A$26,MATCH($C537,'Shultis Faw'!$A$2:$A$26,1))),$C537*'Shultis Faw'!$C$2/'Shultis Faw'!$A$2)</f>
        <v>1.9970855200000002</v>
      </c>
      <c r="J537" s="83">
        <f>_xlfn.IFNA(INDEX('Shultis Faw'!$D$2:$D$26,MATCH($C537,'Shultis Faw'!$A$2:$A$26,1))+($C537-INDEX('Shultis Faw'!$A$2:$A$26,MATCH($C537,'Shultis Faw'!$A$2:$A$26,1)))*(INDEX('Shultis Faw'!$D$2:$D$26,MATCH($C537,'Shultis Faw'!$A$2:$A$26,1)+1)-INDEX('Shultis Faw'!$D$2:$D$26,MATCH($C537,'Shultis Faw'!$A$2:$A$26,1)))/(INDEX('Shultis Faw'!$A$2:$A$26,MATCH($C537,'Shultis Faw'!$A$2:$A$26,1)+1)-INDEX('Shultis Faw'!$A$2:$A$26,MATCH($C537,'Shultis Faw'!$A$2:$A$26,1))),$C537*'Shultis Faw'!$D$2/'Shultis Faw'!$A$2)</f>
        <v>1.3299189599999999</v>
      </c>
      <c r="K537" s="83">
        <f>_xlfn.IFNA(INDEX('Shultis Faw'!$B$2:$B$26,MATCH($C537,'Shultis Faw'!$A$2:$A$26,1))+($C537-INDEX('Shultis Faw'!$A$2:$A$26,MATCH($C537,'Shultis Faw'!$A$2:$A$26,1)))*(INDEX('Shultis Faw'!$B$2:$B$26,MATCH($C537,'Shultis Faw'!$A$2:$A$26,1)+1)-INDEX('Shultis Faw'!$B$2:$B$26,MATCH($C537,'Shultis Faw'!$A$2:$A$26,1)))/(INDEX('Shultis Faw'!$A$2:$A$26,MATCH($C537,'Shultis Faw'!$A$2:$A$26,1)+1)-INDEX('Shultis Faw'!$A$2:$A$26,MATCH($C537,'Shultis Faw'!$A$2:$A$26,1))),$C537*'Shultis Faw'!$B$2/'Shultis Faw'!$A$2)</f>
        <v>-6.8979579999999999E-2</v>
      </c>
      <c r="L537" s="83">
        <f>_xlfn.IFNA(INDEX('Shultis Faw'!$E$2:$E$26,MATCH($C537,'Shultis Faw'!$A$2:$A$26,1))+($C537-INDEX('Shultis Faw'!$A$2:$A$26,MATCH($C537,'Shultis Faw'!$A$2:$A$26,1)))*(INDEX('Shultis Faw'!$E$2:$E$26,MATCH($C537,'Shultis Faw'!$A$2:$A$26,1)+1)-INDEX('Shultis Faw'!$E$2:$E$26,MATCH($C537,'Shultis Faw'!$A$2:$A$26,1)))/(INDEX('Shultis Faw'!$A$2:$A$26,MATCH($C537,'Shultis Faw'!$A$2:$A$26,1)+1)-INDEX('Shultis Faw'!$A$2:$A$26,MATCH($C537,'Shultis Faw'!$A$2:$A$26,1))),$C537*'Shultis Faw'!$E$2/'Shultis Faw'!$A$2)</f>
        <v>2.9275176E-2</v>
      </c>
      <c r="M537" s="83">
        <f>_xlfn.IFNA(INDEX('Shultis Faw'!$F$2:$F$26,MATCH($C537,'Shultis Faw'!$A$2:$A$26,1))+($C537-INDEX('Shultis Faw'!$A$2:$A$26,MATCH($C537,'Shultis Faw'!$A$2:$A$26,1)))*(INDEX('Shultis Faw'!$F$2:$F$26,MATCH($C537,'Shultis Faw'!$A$2:$A$26,1)+1)-INDEX('Shultis Faw'!$F$2:$F$26,MATCH($C537,'Shultis Faw'!$A$2:$A$26,1)))/(INDEX('Shultis Faw'!$A$2:$A$26,MATCH($C537,'Shultis Faw'!$A$2:$A$26,1)+1)-INDEX('Shultis Faw'!$A$2:$A$26,MATCH($C537,'Shultis Faw'!$A$2:$A$26,1))),$C537*'Shultis Faw'!$F$2/'Shultis Faw'!$A$2)</f>
        <v>14.413746</v>
      </c>
      <c r="N537" s="83">
        <f>J537*(H537*'Externe blootstelling'!$D$23/2)^K537+L537*(TANH(((H537*'Externe blootstelling'!$D$23)/(2*M537))-2)-TANH(-2))/(1-TANH(-2))</f>
        <v>1.3375828084402264</v>
      </c>
      <c r="O537" s="83">
        <f>IF(N537=1,1+(I537-1)*H537*'Externe blootstelling'!$D$23/2,1+(I537-1)*(N537^(H537*'Externe blootstelling'!$D$23/2)-1)/(N537-1))</f>
        <v>1.9071023597230654</v>
      </c>
      <c r="P537" s="67">
        <f>G537*EXP(-H537*'Externe blootstelling'!$D$23/2)*O537</f>
        <v>4.6301379358054114E-4</v>
      </c>
      <c r="Q537" s="68"/>
    </row>
    <row r="538" spans="1:17" x14ac:dyDescent="0.2">
      <c r="A538" s="217"/>
      <c r="B538" s="64" t="s">
        <v>104</v>
      </c>
      <c r="C538" s="66">
        <v>1.33195</v>
      </c>
      <c r="D538" s="66">
        <f t="shared" si="37"/>
        <v>2.1311199999999998E-13</v>
      </c>
      <c r="E538" s="66">
        <v>1.7399999999999999E-5</v>
      </c>
      <c r="F538" s="66">
        <f>_xlfn.IFNA(INDEX('hp (pSv cm2)'!$B$2:$B$52,MATCH($C538,'hp (pSv cm2)'!$A$2:$A$52,1))+($C538-INDEX('hp (pSv cm2)'!$A$2:$A$52,MATCH($C538,'hp (pSv cm2)'!$A$2:$A$52,1)))*(INDEX('hp (pSv cm2)'!$B$2:$B$52,MATCH($C538,'hp (pSv cm2)'!$A$2:$A$52,1)+1)-INDEX('hp (pSv cm2)'!$B$2:$B$52,MATCH($C538,'hp (pSv cm2)'!$A$2:$A$52,1)))/(INDEX('hp (pSv cm2)'!$A$2:$A$52,MATCH($C538,'hp (pSv cm2)'!$A$2:$A$52,1)+1)-INDEX('hp (pSv cm2)'!$A$2:$A$52,MATCH($C538,'hp (pSv cm2)'!$A$2:$A$52,1))),$C538*'hp (pSv cm2)'!$B$2/'hp (pSv cm2)'!$A$2)</f>
        <v>5.5721569999999998</v>
      </c>
      <c r="G538" s="67">
        <f t="shared" si="39"/>
        <v>9.6955531799999988E-5</v>
      </c>
      <c r="H538" s="83">
        <f>_xlfn.IFNA(0.997*(INDEX('Mass attenuation coefficients'!$B$2:$B$37,MATCH($C538,'Mass attenuation coefficients'!$A$2:$A$37,1))+($C538-INDEX('Mass attenuation coefficients'!$A$2:$A$37,MATCH($C538,'Mass attenuation coefficients'!$A$2:$A$37,1)))*(INDEX('Mass attenuation coefficients'!$B$2:$B$37,MATCH($C538,'Mass attenuation coefficients'!$A$2:$A$37,1)+1)-INDEX('Mass attenuation coefficients'!$B$2:$B$37,MATCH($C538,'Mass attenuation coefficients'!$A$2:$A$37,1)))/(INDEX('Mass attenuation coefficients'!$A$2:$A$37,MATCH($C538,'Mass attenuation coefficients'!$A$2:$A$37,1)+1)-INDEX('Mass attenuation coefficients'!$A$2:$A$37,MATCH($C538,'Mass attenuation coefficients'!$A$2:$A$37,1)))),0.997*$C538*'Mass attenuation coefficients'!$B$2/'Mass attenuation coefficients'!$A$2)</f>
        <v>6.1180723545999995E-2</v>
      </c>
      <c r="I538" s="83">
        <f>_xlfn.IFNA(INDEX('Shultis Faw'!$C$2:$C$26,MATCH($C538,'Shultis Faw'!$A$2:$A$26,1))+($C538-INDEX('Shultis Faw'!$A$2:$A$26,MATCH($C538,'Shultis Faw'!$A$2:$A$26,1)))*(INDEX('Shultis Faw'!$C$2:$C$26,MATCH($C538,'Shultis Faw'!$A$2:$A$26,1)+1)-INDEX('Shultis Faw'!$C$2:$C$26,MATCH($C538,'Shultis Faw'!$A$2:$A$26,1)))/(INDEX('Shultis Faw'!$A$2:$A$26,MATCH($C538,'Shultis Faw'!$A$2:$A$26,1)+1)-INDEX('Shultis Faw'!$A$2:$A$26,MATCH($C538,'Shultis Faw'!$A$2:$A$26,1))),$C538*'Shultis Faw'!$C$2/'Shultis Faw'!$A$2)</f>
        <v>1.9941204000000001</v>
      </c>
      <c r="J538" s="83">
        <f>_xlfn.IFNA(INDEX('Shultis Faw'!$D$2:$D$26,MATCH($C538,'Shultis Faw'!$A$2:$A$26,1))+($C538-INDEX('Shultis Faw'!$A$2:$A$26,MATCH($C538,'Shultis Faw'!$A$2:$A$26,1)))*(INDEX('Shultis Faw'!$D$2:$D$26,MATCH($C538,'Shultis Faw'!$A$2:$A$26,1)+1)-INDEX('Shultis Faw'!$D$2:$D$26,MATCH($C538,'Shultis Faw'!$A$2:$A$26,1)))/(INDEX('Shultis Faw'!$A$2:$A$26,MATCH($C538,'Shultis Faw'!$A$2:$A$26,1)+1)-INDEX('Shultis Faw'!$A$2:$A$26,MATCH($C538,'Shultis Faw'!$A$2:$A$26,1))),$C538*'Shultis Faw'!$D$2/'Shultis Faw'!$A$2)</f>
        <v>1.3268092</v>
      </c>
      <c r="K538" s="83">
        <f>_xlfn.IFNA(INDEX('Shultis Faw'!$B$2:$B$26,MATCH($C538,'Shultis Faw'!$A$2:$A$26,1))+($C538-INDEX('Shultis Faw'!$A$2:$A$26,MATCH($C538,'Shultis Faw'!$A$2:$A$26,1)))*(INDEX('Shultis Faw'!$B$2:$B$26,MATCH($C538,'Shultis Faw'!$A$2:$A$26,1)+1)-INDEX('Shultis Faw'!$B$2:$B$26,MATCH($C538,'Shultis Faw'!$A$2:$A$26,1)))/(INDEX('Shultis Faw'!$A$2:$A$26,MATCH($C538,'Shultis Faw'!$A$2:$A$26,1)+1)-INDEX('Shultis Faw'!$A$2:$A$26,MATCH($C538,'Shultis Faw'!$A$2:$A$26,1))),$C538*'Shultis Faw'!$B$2/'Shultis Faw'!$A$2)</f>
        <v>-6.841910000000001E-2</v>
      </c>
      <c r="L538" s="83">
        <f>_xlfn.IFNA(INDEX('Shultis Faw'!$E$2:$E$26,MATCH($C538,'Shultis Faw'!$A$2:$A$26,1))+($C538-INDEX('Shultis Faw'!$A$2:$A$26,MATCH($C538,'Shultis Faw'!$A$2:$A$26,1)))*(INDEX('Shultis Faw'!$E$2:$E$26,MATCH($C538,'Shultis Faw'!$A$2:$A$26,1)+1)-INDEX('Shultis Faw'!$E$2:$E$26,MATCH($C538,'Shultis Faw'!$A$2:$A$26,1)))/(INDEX('Shultis Faw'!$A$2:$A$26,MATCH($C538,'Shultis Faw'!$A$2:$A$26,1)+1)-INDEX('Shultis Faw'!$A$2:$A$26,MATCH($C538,'Shultis Faw'!$A$2:$A$26,1))),$C538*'Shultis Faw'!$E$2/'Shultis Faw'!$A$2)</f>
        <v>2.9036520000000003E-2</v>
      </c>
      <c r="M538" s="83">
        <f>_xlfn.IFNA(INDEX('Shultis Faw'!$F$2:$F$26,MATCH($C538,'Shultis Faw'!$A$2:$A$26,1))+($C538-INDEX('Shultis Faw'!$A$2:$A$26,MATCH($C538,'Shultis Faw'!$A$2:$A$26,1)))*(INDEX('Shultis Faw'!$F$2:$F$26,MATCH($C538,'Shultis Faw'!$A$2:$A$26,1)+1)-INDEX('Shultis Faw'!$F$2:$F$26,MATCH($C538,'Shultis Faw'!$A$2:$A$26,1)))/(INDEX('Shultis Faw'!$A$2:$A$26,MATCH($C538,'Shultis Faw'!$A$2:$A$26,1)+1)-INDEX('Shultis Faw'!$A$2:$A$26,MATCH($C538,'Shultis Faw'!$A$2:$A$26,1))),$C538*'Shultis Faw'!$F$2/'Shultis Faw'!$A$2)</f>
        <v>14.419169999999999</v>
      </c>
      <c r="N538" s="83">
        <f>J538*(H538*'Externe blootstelling'!$D$23/2)^K538+L538*(TANH(((H538*'Externe blootstelling'!$D$23)/(2*M538))-2)-TANH(-2))/(1-TANH(-2))</f>
        <v>1.3346983324574428</v>
      </c>
      <c r="O538" s="83">
        <f>IF(N538=1,1+(I538-1)*H538*'Externe blootstelling'!$D$23/2,1+(I538-1)*(N538^(H538*'Externe blootstelling'!$D$23/2)-1)/(N538-1))</f>
        <v>1.9010487856607095</v>
      </c>
      <c r="P538" s="67">
        <f>G538*EXP(-H538*'Externe blootstelling'!$D$23/2)*O538</f>
        <v>7.3622251593989709E-5</v>
      </c>
      <c r="Q538" s="68"/>
    </row>
    <row r="539" spans="1:17" x14ac:dyDescent="0.2">
      <c r="A539" s="217"/>
      <c r="B539" s="64" t="s">
        <v>104</v>
      </c>
      <c r="C539" s="66">
        <v>1.4575400000000001</v>
      </c>
      <c r="D539" s="66">
        <f t="shared" si="37"/>
        <v>2.3320639999999996E-13</v>
      </c>
      <c r="E539" s="66">
        <v>1.8599999999999999E-4</v>
      </c>
      <c r="F539" s="66">
        <f>_xlfn.IFNA(INDEX('hp (pSv cm2)'!$B$2:$B$52,MATCH($C539,'hp (pSv cm2)'!$A$2:$A$52,1))+($C539-INDEX('hp (pSv cm2)'!$A$2:$A$52,MATCH($C539,'hp (pSv cm2)'!$A$2:$A$52,1)))*(INDEX('hp (pSv cm2)'!$B$2:$B$52,MATCH($C539,'hp (pSv cm2)'!$A$2:$A$52,1)+1)-INDEX('hp (pSv cm2)'!$B$2:$B$52,MATCH($C539,'hp (pSv cm2)'!$A$2:$A$52,1)))/(INDEX('hp (pSv cm2)'!$A$2:$A$52,MATCH($C539,'hp (pSv cm2)'!$A$2:$A$52,1)+1)-INDEX('hp (pSv cm2)'!$A$2:$A$52,MATCH($C539,'hp (pSv cm2)'!$A$2:$A$52,1))),$C539*'hp (pSv cm2)'!$B$2/'hp (pSv cm2)'!$A$2)</f>
        <v>5.9815804000000004</v>
      </c>
      <c r="G539" s="67">
        <f t="shared" si="39"/>
        <v>1.1125739544E-3</v>
      </c>
      <c r="H539" s="83">
        <f>_xlfn.IFNA(0.997*(INDEX('Mass attenuation coefficients'!$B$2:$B$37,MATCH($C539,'Mass attenuation coefficients'!$A$2:$A$37,1))+($C539-INDEX('Mass attenuation coefficients'!$A$2:$A$37,MATCH($C539,'Mass attenuation coefficients'!$A$2:$A$37,1)))*(INDEX('Mass attenuation coefficients'!$B$2:$B$37,MATCH($C539,'Mass attenuation coefficients'!$A$2:$A$37,1)+1)-INDEX('Mass attenuation coefficients'!$B$2:$B$37,MATCH($C539,'Mass attenuation coefficients'!$A$2:$A$37,1)))/(INDEX('Mass attenuation coefficients'!$A$2:$A$37,MATCH($C539,'Mass attenuation coefficients'!$A$2:$A$37,1)+1)-INDEX('Mass attenuation coefficients'!$A$2:$A$37,MATCH($C539,'Mass attenuation coefficients'!$A$2:$A$37,1)))),0.997*$C539*'Mass attenuation coefficients'!$B$2/'Mass attenuation coefficients'!$A$2)</f>
        <v>5.8330870431199999E-2</v>
      </c>
      <c r="I539" s="83">
        <f>_xlfn.IFNA(INDEX('Shultis Faw'!$C$2:$C$26,MATCH($C539,'Shultis Faw'!$A$2:$A$26,1))+($C539-INDEX('Shultis Faw'!$A$2:$A$26,MATCH($C539,'Shultis Faw'!$A$2:$A$26,1)))*(INDEX('Shultis Faw'!$C$2:$C$26,MATCH($C539,'Shultis Faw'!$A$2:$A$26,1)+1)-INDEX('Shultis Faw'!$C$2:$C$26,MATCH($C539,'Shultis Faw'!$A$2:$A$26,1)))/(INDEX('Shultis Faw'!$A$2:$A$26,MATCH($C539,'Shultis Faw'!$A$2:$A$26,1)+1)-INDEX('Shultis Faw'!$A$2:$A$26,MATCH($C539,'Shultis Faw'!$A$2:$A$26,1))),$C539*'Shultis Faw'!$C$2/'Shultis Faw'!$A$2)</f>
        <v>1.9529268800000001</v>
      </c>
      <c r="J539" s="83">
        <f>_xlfn.IFNA(INDEX('Shultis Faw'!$D$2:$D$26,MATCH($C539,'Shultis Faw'!$A$2:$A$26,1))+($C539-INDEX('Shultis Faw'!$A$2:$A$26,MATCH($C539,'Shultis Faw'!$A$2:$A$26,1)))*(INDEX('Shultis Faw'!$D$2:$D$26,MATCH($C539,'Shultis Faw'!$A$2:$A$26,1)+1)-INDEX('Shultis Faw'!$D$2:$D$26,MATCH($C539,'Shultis Faw'!$A$2:$A$26,1)))/(INDEX('Shultis Faw'!$A$2:$A$26,MATCH($C539,'Shultis Faw'!$A$2:$A$26,1)+1)-INDEX('Shultis Faw'!$A$2:$A$26,MATCH($C539,'Shultis Faw'!$A$2:$A$26,1))),$C539*'Shultis Faw'!$D$2/'Shultis Faw'!$A$2)</f>
        <v>1.2836062399999999</v>
      </c>
      <c r="K539" s="83">
        <f>_xlfn.IFNA(INDEX('Shultis Faw'!$B$2:$B$26,MATCH($C539,'Shultis Faw'!$A$2:$A$26,1))+($C539-INDEX('Shultis Faw'!$A$2:$A$26,MATCH($C539,'Shultis Faw'!$A$2:$A$26,1)))*(INDEX('Shultis Faw'!$B$2:$B$26,MATCH($C539,'Shultis Faw'!$A$2:$A$26,1)+1)-INDEX('Shultis Faw'!$B$2:$B$26,MATCH($C539,'Shultis Faw'!$A$2:$A$26,1)))/(INDEX('Shultis Faw'!$A$2:$A$26,MATCH($C539,'Shultis Faw'!$A$2:$A$26,1)+1)-INDEX('Shultis Faw'!$A$2:$A$26,MATCH($C539,'Shultis Faw'!$A$2:$A$26,1))),$C539*'Shultis Faw'!$B$2/'Shultis Faw'!$A$2)</f>
        <v>-6.0632519999999995E-2</v>
      </c>
      <c r="L539" s="83">
        <f>_xlfn.IFNA(INDEX('Shultis Faw'!$E$2:$E$26,MATCH($C539,'Shultis Faw'!$A$2:$A$26,1))+($C539-INDEX('Shultis Faw'!$A$2:$A$26,MATCH($C539,'Shultis Faw'!$A$2:$A$26,1)))*(INDEX('Shultis Faw'!$E$2:$E$26,MATCH($C539,'Shultis Faw'!$A$2:$A$26,1)+1)-INDEX('Shultis Faw'!$E$2:$E$26,MATCH($C539,'Shultis Faw'!$A$2:$A$26,1)))/(INDEX('Shultis Faw'!$A$2:$A$26,MATCH($C539,'Shultis Faw'!$A$2:$A$26,1)+1)-INDEX('Shultis Faw'!$A$2:$A$26,MATCH($C539,'Shultis Faw'!$A$2:$A$26,1))),$C539*'Shultis Faw'!$E$2/'Shultis Faw'!$A$2)</f>
        <v>2.5720943999999999E-2</v>
      </c>
      <c r="M539" s="83">
        <f>_xlfn.IFNA(INDEX('Shultis Faw'!$F$2:$F$26,MATCH($C539,'Shultis Faw'!$A$2:$A$26,1))+($C539-INDEX('Shultis Faw'!$A$2:$A$26,MATCH($C539,'Shultis Faw'!$A$2:$A$26,1)))*(INDEX('Shultis Faw'!$F$2:$F$26,MATCH($C539,'Shultis Faw'!$A$2:$A$26,1)+1)-INDEX('Shultis Faw'!$F$2:$F$26,MATCH($C539,'Shultis Faw'!$A$2:$A$26,1)))/(INDEX('Shultis Faw'!$A$2:$A$26,MATCH($C539,'Shultis Faw'!$A$2:$A$26,1)+1)-INDEX('Shultis Faw'!$A$2:$A$26,MATCH($C539,'Shultis Faw'!$A$2:$A$26,1))),$C539*'Shultis Faw'!$F$2/'Shultis Faw'!$A$2)</f>
        <v>14.494524</v>
      </c>
      <c r="N539" s="83">
        <f>J539*(H539*'Externe blootstelling'!$D$23/2)^K539+L539*(TANH(((H539*'Externe blootstelling'!$D$23)/(2*M539))-2)-TANH(-2))/(1-TANH(-2))</f>
        <v>1.2941034831977531</v>
      </c>
      <c r="O539" s="83">
        <f>IF(N539=1,1+(I539-1)*H539*'Externe blootstelling'!$D$23/2,1+(I539-1)*(N539^(H539*'Externe blootstelling'!$D$23/2)-1)/(N539-1))</f>
        <v>1.8199123909173736</v>
      </c>
      <c r="P539" s="67">
        <f>G539*EXP(-H539*'Externe blootstelling'!$D$23/2)*O539</f>
        <v>8.4408803354076771E-4</v>
      </c>
      <c r="Q539" s="68"/>
    </row>
    <row r="540" spans="1:17" x14ac:dyDescent="0.2">
      <c r="A540" s="217"/>
      <c r="B540" s="64" t="s">
        <v>104</v>
      </c>
      <c r="C540" s="66">
        <v>1.4630000000000001</v>
      </c>
      <c r="D540" s="66">
        <f t="shared" si="37"/>
        <v>2.3408E-13</v>
      </c>
      <c r="E540" s="66">
        <v>7.9999999999999996E-6</v>
      </c>
      <c r="F540" s="66">
        <f>_xlfn.IFNA(INDEX('hp (pSv cm2)'!$B$2:$B$52,MATCH($C540,'hp (pSv cm2)'!$A$2:$A$52,1))+($C540-INDEX('hp (pSv cm2)'!$A$2:$A$52,MATCH($C540,'hp (pSv cm2)'!$A$2:$A$52,1)))*(INDEX('hp (pSv cm2)'!$B$2:$B$52,MATCH($C540,'hp (pSv cm2)'!$A$2:$A$52,1)+1)-INDEX('hp (pSv cm2)'!$B$2:$B$52,MATCH($C540,'hp (pSv cm2)'!$A$2:$A$52,1)))/(INDEX('hp (pSv cm2)'!$A$2:$A$52,MATCH($C540,'hp (pSv cm2)'!$A$2:$A$52,1)+1)-INDEX('hp (pSv cm2)'!$A$2:$A$52,MATCH($C540,'hp (pSv cm2)'!$A$2:$A$52,1))),$C540*'hp (pSv cm2)'!$B$2/'hp (pSv cm2)'!$A$2)</f>
        <v>5.9993800000000004</v>
      </c>
      <c r="G540" s="67">
        <f t="shared" si="39"/>
        <v>4.799504E-5</v>
      </c>
      <c r="H540" s="83">
        <f>_xlfn.IFNA(0.997*(INDEX('Mass attenuation coefficients'!$B$2:$B$37,MATCH($C540,'Mass attenuation coefficients'!$A$2:$A$37,1))+($C540-INDEX('Mass attenuation coefficients'!$A$2:$A$37,MATCH($C540,'Mass attenuation coefficients'!$A$2:$A$37,1)))*(INDEX('Mass attenuation coefficients'!$B$2:$B$37,MATCH($C540,'Mass attenuation coefficients'!$A$2:$A$37,1)+1)-INDEX('Mass attenuation coefficients'!$B$2:$B$37,MATCH($C540,'Mass attenuation coefficients'!$A$2:$A$37,1)))/(INDEX('Mass attenuation coefficients'!$A$2:$A$37,MATCH($C540,'Mass attenuation coefficients'!$A$2:$A$37,1)+1)-INDEX('Mass attenuation coefficients'!$A$2:$A$37,MATCH($C540,'Mass attenuation coefficients'!$A$2:$A$37,1)))),0.997*$C540*'Mass attenuation coefficients'!$B$2/'Mass attenuation coefficients'!$A$2)</f>
        <v>5.8206973639999993E-2</v>
      </c>
      <c r="I540" s="83">
        <f>_xlfn.IFNA(INDEX('Shultis Faw'!$C$2:$C$26,MATCH($C540,'Shultis Faw'!$A$2:$A$26,1))+($C540-INDEX('Shultis Faw'!$A$2:$A$26,MATCH($C540,'Shultis Faw'!$A$2:$A$26,1)))*(INDEX('Shultis Faw'!$C$2:$C$26,MATCH($C540,'Shultis Faw'!$A$2:$A$26,1)+1)-INDEX('Shultis Faw'!$C$2:$C$26,MATCH($C540,'Shultis Faw'!$A$2:$A$26,1)))/(INDEX('Shultis Faw'!$A$2:$A$26,MATCH($C540,'Shultis Faw'!$A$2:$A$26,1)+1)-INDEX('Shultis Faw'!$A$2:$A$26,MATCH($C540,'Shultis Faw'!$A$2:$A$26,1))),$C540*'Shultis Faw'!$C$2/'Shultis Faw'!$A$2)</f>
        <v>1.951136</v>
      </c>
      <c r="J540" s="83">
        <f>_xlfn.IFNA(INDEX('Shultis Faw'!$D$2:$D$26,MATCH($C540,'Shultis Faw'!$A$2:$A$26,1))+($C540-INDEX('Shultis Faw'!$A$2:$A$26,MATCH($C540,'Shultis Faw'!$A$2:$A$26,1)))*(INDEX('Shultis Faw'!$D$2:$D$26,MATCH($C540,'Shultis Faw'!$A$2:$A$26,1)+1)-INDEX('Shultis Faw'!$D$2:$D$26,MATCH($C540,'Shultis Faw'!$A$2:$A$26,1)))/(INDEX('Shultis Faw'!$A$2:$A$26,MATCH($C540,'Shultis Faw'!$A$2:$A$26,1)+1)-INDEX('Shultis Faw'!$A$2:$A$26,MATCH($C540,'Shultis Faw'!$A$2:$A$26,1))),$C540*'Shultis Faw'!$D$2/'Shultis Faw'!$A$2)</f>
        <v>1.281728</v>
      </c>
      <c r="K540" s="83">
        <f>_xlfn.IFNA(INDEX('Shultis Faw'!$B$2:$B$26,MATCH($C540,'Shultis Faw'!$A$2:$A$26,1))+($C540-INDEX('Shultis Faw'!$A$2:$A$26,MATCH($C540,'Shultis Faw'!$A$2:$A$26,1)))*(INDEX('Shultis Faw'!$B$2:$B$26,MATCH($C540,'Shultis Faw'!$A$2:$A$26,1)+1)-INDEX('Shultis Faw'!$B$2:$B$26,MATCH($C540,'Shultis Faw'!$A$2:$A$26,1)))/(INDEX('Shultis Faw'!$A$2:$A$26,MATCH($C540,'Shultis Faw'!$A$2:$A$26,1)+1)-INDEX('Shultis Faw'!$A$2:$A$26,MATCH($C540,'Shultis Faw'!$A$2:$A$26,1))),$C540*'Shultis Faw'!$B$2/'Shultis Faw'!$A$2)</f>
        <v>-6.0294E-2</v>
      </c>
      <c r="L540" s="83">
        <f>_xlfn.IFNA(INDEX('Shultis Faw'!$E$2:$E$26,MATCH($C540,'Shultis Faw'!$A$2:$A$26,1))+($C540-INDEX('Shultis Faw'!$A$2:$A$26,MATCH($C540,'Shultis Faw'!$A$2:$A$26,1)))*(INDEX('Shultis Faw'!$E$2:$E$26,MATCH($C540,'Shultis Faw'!$A$2:$A$26,1)+1)-INDEX('Shultis Faw'!$E$2:$E$26,MATCH($C540,'Shultis Faw'!$A$2:$A$26,1)))/(INDEX('Shultis Faw'!$A$2:$A$26,MATCH($C540,'Shultis Faw'!$A$2:$A$26,1)+1)-INDEX('Shultis Faw'!$A$2:$A$26,MATCH($C540,'Shultis Faw'!$A$2:$A$26,1))),$C540*'Shultis Faw'!$E$2/'Shultis Faw'!$A$2)</f>
        <v>2.5576799999999997E-2</v>
      </c>
      <c r="M540" s="83">
        <f>_xlfn.IFNA(INDEX('Shultis Faw'!$F$2:$F$26,MATCH($C540,'Shultis Faw'!$A$2:$A$26,1))+($C540-INDEX('Shultis Faw'!$A$2:$A$26,MATCH($C540,'Shultis Faw'!$A$2:$A$26,1)))*(INDEX('Shultis Faw'!$F$2:$F$26,MATCH($C540,'Shultis Faw'!$A$2:$A$26,1)+1)-INDEX('Shultis Faw'!$F$2:$F$26,MATCH($C540,'Shultis Faw'!$A$2:$A$26,1)))/(INDEX('Shultis Faw'!$A$2:$A$26,MATCH($C540,'Shultis Faw'!$A$2:$A$26,1)+1)-INDEX('Shultis Faw'!$A$2:$A$26,MATCH($C540,'Shultis Faw'!$A$2:$A$26,1))),$C540*'Shultis Faw'!$F$2/'Shultis Faw'!$A$2)</f>
        <v>14.4978</v>
      </c>
      <c r="N540" s="83">
        <f>J540*(H540*'Externe blootstelling'!$D$23/2)^K540+L540*(TANH(((H540*'Externe blootstelling'!$D$23)/(2*M540))-2)-TANH(-2))/(1-TANH(-2))</f>
        <v>1.2923167253948238</v>
      </c>
      <c r="O540" s="83">
        <f>IF(N540=1,1+(I540-1)*H540*'Externe blootstelling'!$D$23/2,1+(I540-1)*(N540^(H540*'Externe blootstelling'!$D$23/2)-1)/(N540-1))</f>
        <v>1.8165075912887643</v>
      </c>
      <c r="P540" s="67">
        <f>G540*EXP(-H540*'Externe blootstelling'!$D$23/2)*O540</f>
        <v>3.6412379733155717E-5</v>
      </c>
      <c r="Q540" s="68"/>
    </row>
    <row r="541" spans="1:17" x14ac:dyDescent="0.2">
      <c r="A541" s="217"/>
      <c r="B541" s="64" t="s">
        <v>104</v>
      </c>
      <c r="C541" s="66">
        <v>1.5305</v>
      </c>
      <c r="D541" s="66">
        <f t="shared" si="37"/>
        <v>2.4487999999999996E-13</v>
      </c>
      <c r="E541" s="66">
        <v>5.5000000000000007E-6</v>
      </c>
      <c r="F541" s="66">
        <f>_xlfn.IFNA(INDEX('hp (pSv cm2)'!$B$2:$B$52,MATCH($C541,'hp (pSv cm2)'!$A$2:$A$52,1))+($C541-INDEX('hp (pSv cm2)'!$A$2:$A$52,MATCH($C541,'hp (pSv cm2)'!$A$2:$A$52,1)))*(INDEX('hp (pSv cm2)'!$B$2:$B$52,MATCH($C541,'hp (pSv cm2)'!$A$2:$A$52,1)+1)-INDEX('hp (pSv cm2)'!$B$2:$B$52,MATCH($C541,'hp (pSv cm2)'!$A$2:$A$52,1)))/(INDEX('hp (pSv cm2)'!$A$2:$A$52,MATCH($C541,'hp (pSv cm2)'!$A$2:$A$52,1)+1)-INDEX('hp (pSv cm2)'!$A$2:$A$52,MATCH($C541,'hp (pSv cm2)'!$A$2:$A$52,1))),$C541*'hp (pSv cm2)'!$B$2/'hp (pSv cm2)'!$A$2)</f>
        <v>6.20296</v>
      </c>
      <c r="G541" s="67">
        <f t="shared" si="39"/>
        <v>3.4116280000000003E-5</v>
      </c>
      <c r="H541" s="83">
        <f>_xlfn.IFNA(0.997*(INDEX('Mass attenuation coefficients'!$B$2:$B$37,MATCH($C541,'Mass attenuation coefficients'!$A$2:$A$37,1))+($C541-INDEX('Mass attenuation coefficients'!$A$2:$A$37,MATCH($C541,'Mass attenuation coefficients'!$A$2:$A$37,1)))*(INDEX('Mass attenuation coefficients'!$B$2:$B$37,MATCH($C541,'Mass attenuation coefficients'!$A$2:$A$37,1)+1)-INDEX('Mass attenuation coefficients'!$B$2:$B$37,MATCH($C541,'Mass attenuation coefficients'!$A$2:$A$37,1)))/(INDEX('Mass attenuation coefficients'!$A$2:$A$37,MATCH($C541,'Mass attenuation coefficients'!$A$2:$A$37,1)+1)-INDEX('Mass attenuation coefficients'!$A$2:$A$37,MATCH($C541,'Mass attenuation coefficients'!$A$2:$A$37,1)))),0.997*$C541*'Mass attenuation coefficients'!$B$2/'Mass attenuation coefficients'!$A$2)</f>
        <v>5.6873545960000001E-2</v>
      </c>
      <c r="I541" s="83">
        <f>_xlfn.IFNA(INDEX('Shultis Faw'!$C$2:$C$26,MATCH($C541,'Shultis Faw'!$A$2:$A$26,1))+($C541-INDEX('Shultis Faw'!$A$2:$A$26,MATCH($C541,'Shultis Faw'!$A$2:$A$26,1)))*(INDEX('Shultis Faw'!$C$2:$C$26,MATCH($C541,'Shultis Faw'!$A$2:$A$26,1)+1)-INDEX('Shultis Faw'!$C$2:$C$26,MATCH($C541,'Shultis Faw'!$A$2:$A$26,1)))/(INDEX('Shultis Faw'!$A$2:$A$26,MATCH($C541,'Shultis Faw'!$A$2:$A$26,1)+1)-INDEX('Shultis Faw'!$A$2:$A$26,MATCH($C541,'Shultis Faw'!$A$2:$A$26,1))),$C541*'Shultis Faw'!$C$2/'Shultis Faw'!$A$2)</f>
        <v>1.9329000000000001</v>
      </c>
      <c r="J541" s="83">
        <f>_xlfn.IFNA(INDEX('Shultis Faw'!$D$2:$D$26,MATCH($C541,'Shultis Faw'!$A$2:$A$26,1))+($C541-INDEX('Shultis Faw'!$A$2:$A$26,MATCH($C541,'Shultis Faw'!$A$2:$A$26,1)))*(INDEX('Shultis Faw'!$D$2:$D$26,MATCH($C541,'Shultis Faw'!$A$2:$A$26,1)+1)-INDEX('Shultis Faw'!$D$2:$D$26,MATCH($C541,'Shultis Faw'!$A$2:$A$26,1)))/(INDEX('Shultis Faw'!$A$2:$A$26,MATCH($C541,'Shultis Faw'!$A$2:$A$26,1)+1)-INDEX('Shultis Faw'!$A$2:$A$26,MATCH($C541,'Shultis Faw'!$A$2:$A$26,1))),$C541*'Shultis Faw'!$D$2/'Shultis Faw'!$A$2)</f>
        <v>1.2631439999999998</v>
      </c>
      <c r="K541" s="83">
        <f>_xlfn.IFNA(INDEX('Shultis Faw'!$B$2:$B$26,MATCH($C541,'Shultis Faw'!$A$2:$A$26,1))+($C541-INDEX('Shultis Faw'!$A$2:$A$26,MATCH($C541,'Shultis Faw'!$A$2:$A$26,1)))*(INDEX('Shultis Faw'!$B$2:$B$26,MATCH($C541,'Shultis Faw'!$A$2:$A$26,1)+1)-INDEX('Shultis Faw'!$B$2:$B$26,MATCH($C541,'Shultis Faw'!$A$2:$A$26,1)))/(INDEX('Shultis Faw'!$A$2:$A$26,MATCH($C541,'Shultis Faw'!$A$2:$A$26,1)+1)-INDEX('Shultis Faw'!$A$2:$A$26,MATCH($C541,'Shultis Faw'!$A$2:$A$26,1))),$C541*'Shultis Faw'!$B$2/'Shultis Faw'!$A$2)</f>
        <v>-5.6841000000000003E-2</v>
      </c>
      <c r="L541" s="83">
        <f>_xlfn.IFNA(INDEX('Shultis Faw'!$E$2:$E$26,MATCH($C541,'Shultis Faw'!$A$2:$A$26,1))+($C541-INDEX('Shultis Faw'!$A$2:$A$26,MATCH($C541,'Shultis Faw'!$A$2:$A$26,1)))*(INDEX('Shultis Faw'!$E$2:$E$26,MATCH($C541,'Shultis Faw'!$A$2:$A$26,1)+1)-INDEX('Shultis Faw'!$E$2:$E$26,MATCH($C541,'Shultis Faw'!$A$2:$A$26,1)))/(INDEX('Shultis Faw'!$A$2:$A$26,MATCH($C541,'Shultis Faw'!$A$2:$A$26,1)+1)-INDEX('Shultis Faw'!$A$2:$A$26,MATCH($C541,'Shultis Faw'!$A$2:$A$26,1))),$C541*'Shultis Faw'!$E$2/'Shultis Faw'!$A$2)</f>
        <v>2.4081500000000002E-2</v>
      </c>
      <c r="M541" s="83">
        <f>_xlfn.IFNA(INDEX('Shultis Faw'!$F$2:$F$26,MATCH($C541,'Shultis Faw'!$A$2:$A$26,1))+($C541-INDEX('Shultis Faw'!$A$2:$A$26,MATCH($C541,'Shultis Faw'!$A$2:$A$26,1)))*(INDEX('Shultis Faw'!$F$2:$F$26,MATCH($C541,'Shultis Faw'!$A$2:$A$26,1)+1)-INDEX('Shultis Faw'!$F$2:$F$26,MATCH($C541,'Shultis Faw'!$A$2:$A$26,1)))/(INDEX('Shultis Faw'!$A$2:$A$26,MATCH($C541,'Shultis Faw'!$A$2:$A$26,1)+1)-INDEX('Shultis Faw'!$A$2:$A$26,MATCH($C541,'Shultis Faw'!$A$2:$A$26,1))),$C541*'Shultis Faw'!$F$2/'Shultis Faw'!$A$2)</f>
        <v>14.49255</v>
      </c>
      <c r="N541" s="83">
        <f>J541*(H541*'Externe blootstelling'!$D$23/2)^K541+L541*(TANH(((H541*'Externe blootstelling'!$D$23)/(2*M541))-2)-TANH(-2))/(1-TANH(-2))</f>
        <v>1.2746566047929888</v>
      </c>
      <c r="O541" s="83">
        <f>IF(N541=1,1+(I541-1)*H541*'Externe blootstelling'!$D$23/2,1+(I541-1)*(N541^(H541*'Externe blootstelling'!$D$23/2)-1)/(N541-1))</f>
        <v>1.7812784510912294</v>
      </c>
      <c r="P541" s="67">
        <f>G541*EXP(-H541*'Externe blootstelling'!$D$23/2)*O541</f>
        <v>2.589378135533267E-5</v>
      </c>
      <c r="Q541" s="68"/>
    </row>
    <row r="542" spans="1:17" x14ac:dyDescent="0.2">
      <c r="A542" s="217"/>
      <c r="B542" s="64" t="s">
        <v>104</v>
      </c>
      <c r="C542" s="66">
        <v>1.5492600000000001</v>
      </c>
      <c r="D542" s="66">
        <f t="shared" si="37"/>
        <v>2.4788159999999996E-13</v>
      </c>
      <c r="E542" s="66">
        <v>1.5999999999999999E-5</v>
      </c>
      <c r="F542" s="66">
        <f>_xlfn.IFNA(INDEX('hp (pSv cm2)'!$B$2:$B$52,MATCH($C542,'hp (pSv cm2)'!$A$2:$A$52,1))+($C542-INDEX('hp (pSv cm2)'!$A$2:$A$52,MATCH($C542,'hp (pSv cm2)'!$A$2:$A$52,1)))*(INDEX('hp (pSv cm2)'!$B$2:$B$52,MATCH($C542,'hp (pSv cm2)'!$A$2:$A$52,1)+1)-INDEX('hp (pSv cm2)'!$B$2:$B$52,MATCH($C542,'hp (pSv cm2)'!$A$2:$A$52,1)))/(INDEX('hp (pSv cm2)'!$A$2:$A$52,MATCH($C542,'hp (pSv cm2)'!$A$2:$A$52,1)+1)-INDEX('hp (pSv cm2)'!$A$2:$A$52,MATCH($C542,'hp (pSv cm2)'!$A$2:$A$52,1))),$C542*'hp (pSv cm2)'!$B$2/'hp (pSv cm2)'!$A$2)</f>
        <v>6.2539872000000001</v>
      </c>
      <c r="G542" s="67">
        <f t="shared" si="39"/>
        <v>1.000637952E-4</v>
      </c>
      <c r="H542" s="83">
        <f>_xlfn.IFNA(0.997*(INDEX('Mass attenuation coefficients'!$B$2:$B$37,MATCH($C542,'Mass attenuation coefficients'!$A$2:$A$37,1))+($C542-INDEX('Mass attenuation coefficients'!$A$2:$A$37,MATCH($C542,'Mass attenuation coefficients'!$A$2:$A$37,1)))*(INDEX('Mass attenuation coefficients'!$B$2:$B$37,MATCH($C542,'Mass attenuation coefficients'!$A$2:$A$37,1)+1)-INDEX('Mass attenuation coefficients'!$B$2:$B$37,MATCH($C542,'Mass attenuation coefficients'!$A$2:$A$37,1)))/(INDEX('Mass attenuation coefficients'!$A$2:$A$37,MATCH($C542,'Mass attenuation coefficients'!$A$2:$A$37,1)+1)-INDEX('Mass attenuation coefficients'!$A$2:$A$37,MATCH($C542,'Mass attenuation coefficients'!$A$2:$A$37,1)))),0.997*$C542*'Mass attenuation coefficients'!$B$2/'Mass attenuation coefficients'!$A$2)</f>
        <v>5.6569797547199999E-2</v>
      </c>
      <c r="I542" s="83">
        <f>_xlfn.IFNA(INDEX('Shultis Faw'!$C$2:$C$26,MATCH($C542,'Shultis Faw'!$A$2:$A$26,1))+($C542-INDEX('Shultis Faw'!$A$2:$A$26,MATCH($C542,'Shultis Faw'!$A$2:$A$26,1)))*(INDEX('Shultis Faw'!$C$2:$C$26,MATCH($C542,'Shultis Faw'!$A$2:$A$26,1)+1)-INDEX('Shultis Faw'!$C$2:$C$26,MATCH($C542,'Shultis Faw'!$A$2:$A$26,1)))/(INDEX('Shultis Faw'!$A$2:$A$26,MATCH($C542,'Shultis Faw'!$A$2:$A$26,1)+1)-INDEX('Shultis Faw'!$A$2:$A$26,MATCH($C542,'Shultis Faw'!$A$2:$A$26,1))),$C542*'Shultis Faw'!$C$2/'Shultis Faw'!$A$2)</f>
        <v>1.9291480000000001</v>
      </c>
      <c r="J542" s="83">
        <f>_xlfn.IFNA(INDEX('Shultis Faw'!$D$2:$D$26,MATCH($C542,'Shultis Faw'!$A$2:$A$26,1))+($C542-INDEX('Shultis Faw'!$A$2:$A$26,MATCH($C542,'Shultis Faw'!$A$2:$A$26,1)))*(INDEX('Shultis Faw'!$D$2:$D$26,MATCH($C542,'Shultis Faw'!$A$2:$A$26,1)+1)-INDEX('Shultis Faw'!$D$2:$D$26,MATCH($C542,'Shultis Faw'!$A$2:$A$26,1)))/(INDEX('Shultis Faw'!$A$2:$A$26,MATCH($C542,'Shultis Faw'!$A$2:$A$26,1)+1)-INDEX('Shultis Faw'!$A$2:$A$26,MATCH($C542,'Shultis Faw'!$A$2:$A$26,1))),$C542*'Shultis Faw'!$D$2/'Shultis Faw'!$A$2)</f>
        <v>1.2595420799999999</v>
      </c>
      <c r="K542" s="83">
        <f>_xlfn.IFNA(INDEX('Shultis Faw'!$B$2:$B$26,MATCH($C542,'Shultis Faw'!$A$2:$A$26,1))+($C542-INDEX('Shultis Faw'!$A$2:$A$26,MATCH($C542,'Shultis Faw'!$A$2:$A$26,1)))*(INDEX('Shultis Faw'!$B$2:$B$26,MATCH($C542,'Shultis Faw'!$A$2:$A$26,1)+1)-INDEX('Shultis Faw'!$B$2:$B$26,MATCH($C542,'Shultis Faw'!$A$2:$A$26,1)))/(INDEX('Shultis Faw'!$A$2:$A$26,MATCH($C542,'Shultis Faw'!$A$2:$A$26,1)+1)-INDEX('Shultis Faw'!$A$2:$A$26,MATCH($C542,'Shultis Faw'!$A$2:$A$26,1))),$C542*'Shultis Faw'!$B$2/'Shultis Faw'!$A$2)</f>
        <v>-5.6128119999999997E-2</v>
      </c>
      <c r="L542" s="83">
        <f>_xlfn.IFNA(INDEX('Shultis Faw'!$E$2:$E$26,MATCH($C542,'Shultis Faw'!$A$2:$A$26,1))+($C542-INDEX('Shultis Faw'!$A$2:$A$26,MATCH($C542,'Shultis Faw'!$A$2:$A$26,1)))*(INDEX('Shultis Faw'!$E$2:$E$26,MATCH($C542,'Shultis Faw'!$A$2:$A$26,1)+1)-INDEX('Shultis Faw'!$E$2:$E$26,MATCH($C542,'Shultis Faw'!$A$2:$A$26,1)))/(INDEX('Shultis Faw'!$A$2:$A$26,MATCH($C542,'Shultis Faw'!$A$2:$A$26,1)+1)-INDEX('Shultis Faw'!$A$2:$A$26,MATCH($C542,'Shultis Faw'!$A$2:$A$26,1))),$C542*'Shultis Faw'!$E$2/'Shultis Faw'!$A$2)</f>
        <v>2.3762579999999998E-2</v>
      </c>
      <c r="M542" s="83">
        <f>_xlfn.IFNA(INDEX('Shultis Faw'!$F$2:$F$26,MATCH($C542,'Shultis Faw'!$A$2:$A$26,1))+($C542-INDEX('Shultis Faw'!$A$2:$A$26,MATCH($C542,'Shultis Faw'!$A$2:$A$26,1)))*(INDEX('Shultis Faw'!$F$2:$F$26,MATCH($C542,'Shultis Faw'!$A$2:$A$26,1)+1)-INDEX('Shultis Faw'!$F$2:$F$26,MATCH($C542,'Shultis Faw'!$A$2:$A$26,1)))/(INDEX('Shultis Faw'!$A$2:$A$26,MATCH($C542,'Shultis Faw'!$A$2:$A$26,1)+1)-INDEX('Shultis Faw'!$A$2:$A$26,MATCH($C542,'Shultis Faw'!$A$2:$A$26,1))),$C542*'Shultis Faw'!$F$2/'Shultis Faw'!$A$2)</f>
        <v>14.475666</v>
      </c>
      <c r="N542" s="83">
        <f>J542*(H542*'Externe blootstelling'!$D$23/2)^K542+L542*(TANH(((H542*'Externe blootstelling'!$D$23)/(2*M542))-2)-TANH(-2))/(1-TANH(-2))</f>
        <v>1.2712591492114427</v>
      </c>
      <c r="O542" s="83">
        <f>IF(N542=1,1+(I542-1)*H542*'Externe blootstelling'!$D$23/2,1+(I542-1)*(N542^(H542*'Externe blootstelling'!$D$23/2)-1)/(N542-1))</f>
        <v>1.7737058918179809</v>
      </c>
      <c r="P542" s="67">
        <f>G542*EXP(-H542*'Externe blootstelling'!$D$23/2)*O542</f>
        <v>7.5969508312423366E-5</v>
      </c>
      <c r="Q542" s="68"/>
    </row>
    <row r="543" spans="1:17" x14ac:dyDescent="0.2">
      <c r="A543" s="217"/>
      <c r="B543" s="64" t="s">
        <v>104</v>
      </c>
      <c r="C543" s="66">
        <v>1.57457</v>
      </c>
      <c r="D543" s="66">
        <f t="shared" si="37"/>
        <v>2.519312E-13</v>
      </c>
      <c r="E543" s="66">
        <v>6.3000000000000007E-6</v>
      </c>
      <c r="F543" s="66">
        <f>_xlfn.IFNA(INDEX('hp (pSv cm2)'!$B$2:$B$52,MATCH($C543,'hp (pSv cm2)'!$A$2:$A$52,1))+($C543-INDEX('hp (pSv cm2)'!$A$2:$A$52,MATCH($C543,'hp (pSv cm2)'!$A$2:$A$52,1)))*(INDEX('hp (pSv cm2)'!$B$2:$B$52,MATCH($C543,'hp (pSv cm2)'!$A$2:$A$52,1)+1)-INDEX('hp (pSv cm2)'!$B$2:$B$52,MATCH($C543,'hp (pSv cm2)'!$A$2:$A$52,1)))/(INDEX('hp (pSv cm2)'!$A$2:$A$52,MATCH($C543,'hp (pSv cm2)'!$A$2:$A$52,1)+1)-INDEX('hp (pSv cm2)'!$A$2:$A$52,MATCH($C543,'hp (pSv cm2)'!$A$2:$A$52,1))),$C543*'hp (pSv cm2)'!$B$2/'hp (pSv cm2)'!$A$2)</f>
        <v>6.3228304</v>
      </c>
      <c r="G543" s="67">
        <f t="shared" si="39"/>
        <v>3.9833831520000007E-5</v>
      </c>
      <c r="H543" s="83">
        <f>_xlfn.IFNA(0.997*(INDEX('Mass attenuation coefficients'!$B$2:$B$37,MATCH($C543,'Mass attenuation coefficients'!$A$2:$A$37,1))+($C543-INDEX('Mass attenuation coefficients'!$A$2:$A$37,MATCH($C543,'Mass attenuation coefficients'!$A$2:$A$37,1)))*(INDEX('Mass attenuation coefficients'!$B$2:$B$37,MATCH($C543,'Mass attenuation coefficients'!$A$2:$A$37,1)+1)-INDEX('Mass attenuation coefficients'!$B$2:$B$37,MATCH($C543,'Mass attenuation coefficients'!$A$2:$A$37,1)))/(INDEX('Mass attenuation coefficients'!$A$2:$A$37,MATCH($C543,'Mass attenuation coefficients'!$A$2:$A$37,1)+1)-INDEX('Mass attenuation coefficients'!$A$2:$A$37,MATCH($C543,'Mass attenuation coefficients'!$A$2:$A$37,1)))),0.997*$C543*'Mass attenuation coefficients'!$B$2/'Mass attenuation coefficients'!$A$2)</f>
        <v>5.6159996250400003E-2</v>
      </c>
      <c r="I543" s="83">
        <f>_xlfn.IFNA(INDEX('Shultis Faw'!$C$2:$C$26,MATCH($C543,'Shultis Faw'!$A$2:$A$26,1))+($C543-INDEX('Shultis Faw'!$A$2:$A$26,MATCH($C543,'Shultis Faw'!$A$2:$A$26,1)))*(INDEX('Shultis Faw'!$C$2:$C$26,MATCH($C543,'Shultis Faw'!$A$2:$A$26,1)+1)-INDEX('Shultis Faw'!$C$2:$C$26,MATCH($C543,'Shultis Faw'!$A$2:$A$26,1)))/(INDEX('Shultis Faw'!$A$2:$A$26,MATCH($C543,'Shultis Faw'!$A$2:$A$26,1)+1)-INDEX('Shultis Faw'!$A$2:$A$26,MATCH($C543,'Shultis Faw'!$A$2:$A$26,1))),$C543*'Shultis Faw'!$C$2/'Shultis Faw'!$A$2)</f>
        <v>1.924086</v>
      </c>
      <c r="J543" s="83">
        <f>_xlfn.IFNA(INDEX('Shultis Faw'!$D$2:$D$26,MATCH($C543,'Shultis Faw'!$A$2:$A$26,1))+($C543-INDEX('Shultis Faw'!$A$2:$A$26,MATCH($C543,'Shultis Faw'!$A$2:$A$26,1)))*(INDEX('Shultis Faw'!$D$2:$D$26,MATCH($C543,'Shultis Faw'!$A$2:$A$26,1)+1)-INDEX('Shultis Faw'!$D$2:$D$26,MATCH($C543,'Shultis Faw'!$A$2:$A$26,1)))/(INDEX('Shultis Faw'!$A$2:$A$26,MATCH($C543,'Shultis Faw'!$A$2:$A$26,1)+1)-INDEX('Shultis Faw'!$A$2:$A$26,MATCH($C543,'Shultis Faw'!$A$2:$A$26,1))),$C543*'Shultis Faw'!$D$2/'Shultis Faw'!$A$2)</f>
        <v>1.25468256</v>
      </c>
      <c r="K543" s="83">
        <f>_xlfn.IFNA(INDEX('Shultis Faw'!$B$2:$B$26,MATCH($C543,'Shultis Faw'!$A$2:$A$26,1))+($C543-INDEX('Shultis Faw'!$A$2:$A$26,MATCH($C543,'Shultis Faw'!$A$2:$A$26,1)))*(INDEX('Shultis Faw'!$B$2:$B$26,MATCH($C543,'Shultis Faw'!$A$2:$A$26,1)+1)-INDEX('Shultis Faw'!$B$2:$B$26,MATCH($C543,'Shultis Faw'!$A$2:$A$26,1)))/(INDEX('Shultis Faw'!$A$2:$A$26,MATCH($C543,'Shultis Faw'!$A$2:$A$26,1)+1)-INDEX('Shultis Faw'!$A$2:$A$26,MATCH($C543,'Shultis Faw'!$A$2:$A$26,1))),$C543*'Shultis Faw'!$B$2/'Shultis Faw'!$A$2)</f>
        <v>-5.5166340000000001E-2</v>
      </c>
      <c r="L543" s="83">
        <f>_xlfn.IFNA(INDEX('Shultis Faw'!$E$2:$E$26,MATCH($C543,'Shultis Faw'!$A$2:$A$26,1))+($C543-INDEX('Shultis Faw'!$A$2:$A$26,MATCH($C543,'Shultis Faw'!$A$2:$A$26,1)))*(INDEX('Shultis Faw'!$E$2:$E$26,MATCH($C543,'Shultis Faw'!$A$2:$A$26,1)+1)-INDEX('Shultis Faw'!$E$2:$E$26,MATCH($C543,'Shultis Faw'!$A$2:$A$26,1)))/(INDEX('Shultis Faw'!$A$2:$A$26,MATCH($C543,'Shultis Faw'!$A$2:$A$26,1)+1)-INDEX('Shultis Faw'!$A$2:$A$26,MATCH($C543,'Shultis Faw'!$A$2:$A$26,1))),$C543*'Shultis Faw'!$E$2/'Shultis Faw'!$A$2)</f>
        <v>2.3332309999999998E-2</v>
      </c>
      <c r="M543" s="83">
        <f>_xlfn.IFNA(INDEX('Shultis Faw'!$F$2:$F$26,MATCH($C543,'Shultis Faw'!$A$2:$A$26,1))+($C543-INDEX('Shultis Faw'!$A$2:$A$26,MATCH($C543,'Shultis Faw'!$A$2:$A$26,1)))*(INDEX('Shultis Faw'!$F$2:$F$26,MATCH($C543,'Shultis Faw'!$A$2:$A$26,1)+1)-INDEX('Shultis Faw'!$F$2:$F$26,MATCH($C543,'Shultis Faw'!$A$2:$A$26,1)))/(INDEX('Shultis Faw'!$A$2:$A$26,MATCH($C543,'Shultis Faw'!$A$2:$A$26,1)+1)-INDEX('Shultis Faw'!$A$2:$A$26,MATCH($C543,'Shultis Faw'!$A$2:$A$26,1))),$C543*'Shultis Faw'!$F$2/'Shultis Faw'!$A$2)</f>
        <v>14.452887</v>
      </c>
      <c r="N543" s="83">
        <f>J543*(H543*'Externe blootstelling'!$D$23/2)^K543+L543*(TANH(((H543*'Externe blootstelling'!$D$23)/(2*M543))-2)-TANH(-2))/(1-TANH(-2))</f>
        <v>1.2666612752214006</v>
      </c>
      <c r="O543" s="83">
        <f>IF(N543=1,1+(I543-1)*H543*'Externe blootstelling'!$D$23/2,1+(I543-1)*(N543^(H543*'Externe blootstelling'!$D$23/2)-1)/(N543-1))</f>
        <v>1.7635679775457513</v>
      </c>
      <c r="P543" s="67">
        <f>G543*EXP(-H543*'Externe blootstelling'!$D$23/2)*O543</f>
        <v>3.0254824596357341E-5</v>
      </c>
      <c r="Q543" s="68"/>
    </row>
    <row r="544" spans="1:17" x14ac:dyDescent="0.2">
      <c r="A544" s="217"/>
      <c r="B544" s="64" t="s">
        <v>104</v>
      </c>
      <c r="C544" s="66">
        <v>1.6104000000000001</v>
      </c>
      <c r="D544" s="66">
        <f t="shared" si="37"/>
        <v>2.5766399999999997E-13</v>
      </c>
      <c r="E544" s="66">
        <v>9.7999999999999997E-4</v>
      </c>
      <c r="F544" s="66">
        <f>_xlfn.IFNA(INDEX('hp (pSv cm2)'!$B$2:$B$52,MATCH($C544,'hp (pSv cm2)'!$A$2:$A$52,1))+($C544-INDEX('hp (pSv cm2)'!$A$2:$A$52,MATCH($C544,'hp (pSv cm2)'!$A$2:$A$52,1)))*(INDEX('hp (pSv cm2)'!$B$2:$B$52,MATCH($C544,'hp (pSv cm2)'!$A$2:$A$52,1)+1)-INDEX('hp (pSv cm2)'!$B$2:$B$52,MATCH($C544,'hp (pSv cm2)'!$A$2:$A$52,1)))/(INDEX('hp (pSv cm2)'!$A$2:$A$52,MATCH($C544,'hp (pSv cm2)'!$A$2:$A$52,1)+1)-INDEX('hp (pSv cm2)'!$A$2:$A$52,MATCH($C544,'hp (pSv cm2)'!$A$2:$A$52,1))),$C544*'hp (pSv cm2)'!$B$2/'hp (pSv cm2)'!$A$2)</f>
        <v>6.4202880000000002</v>
      </c>
      <c r="G544" s="67">
        <f t="shared" si="39"/>
        <v>6.2918822400000003E-3</v>
      </c>
      <c r="H544" s="83">
        <f>_xlfn.IFNA(0.997*(INDEX('Mass attenuation coefficients'!$B$2:$B$37,MATCH($C544,'Mass attenuation coefficients'!$A$2:$A$37,1))+($C544-INDEX('Mass attenuation coefficients'!$A$2:$A$37,MATCH($C544,'Mass attenuation coefficients'!$A$2:$A$37,1)))*(INDEX('Mass attenuation coefficients'!$B$2:$B$37,MATCH($C544,'Mass attenuation coefficients'!$A$2:$A$37,1)+1)-INDEX('Mass attenuation coefficients'!$B$2:$B$37,MATCH($C544,'Mass attenuation coefficients'!$A$2:$A$37,1)))/(INDEX('Mass attenuation coefficients'!$A$2:$A$37,MATCH($C544,'Mass attenuation coefficients'!$A$2:$A$37,1)+1)-INDEX('Mass attenuation coefficients'!$A$2:$A$37,MATCH($C544,'Mass attenuation coefficients'!$A$2:$A$37,1)))),0.997*$C544*'Mass attenuation coefficients'!$B$2/'Mass attenuation coefficients'!$A$2)</f>
        <v>5.5579862687999998E-2</v>
      </c>
      <c r="I544" s="83">
        <f>_xlfn.IFNA(INDEX('Shultis Faw'!$C$2:$C$26,MATCH($C544,'Shultis Faw'!$A$2:$A$26,1))+($C544-INDEX('Shultis Faw'!$A$2:$A$26,MATCH($C544,'Shultis Faw'!$A$2:$A$26,1)))*(INDEX('Shultis Faw'!$C$2:$C$26,MATCH($C544,'Shultis Faw'!$A$2:$A$26,1)+1)-INDEX('Shultis Faw'!$C$2:$C$26,MATCH($C544,'Shultis Faw'!$A$2:$A$26,1)))/(INDEX('Shultis Faw'!$A$2:$A$26,MATCH($C544,'Shultis Faw'!$A$2:$A$26,1)+1)-INDEX('Shultis Faw'!$A$2:$A$26,MATCH($C544,'Shultis Faw'!$A$2:$A$26,1))),$C544*'Shultis Faw'!$C$2/'Shultis Faw'!$A$2)</f>
        <v>1.91692</v>
      </c>
      <c r="J544" s="83">
        <f>_xlfn.IFNA(INDEX('Shultis Faw'!$D$2:$D$26,MATCH($C544,'Shultis Faw'!$A$2:$A$26,1))+($C544-INDEX('Shultis Faw'!$A$2:$A$26,MATCH($C544,'Shultis Faw'!$A$2:$A$26,1)))*(INDEX('Shultis Faw'!$D$2:$D$26,MATCH($C544,'Shultis Faw'!$A$2:$A$26,1)+1)-INDEX('Shultis Faw'!$D$2:$D$26,MATCH($C544,'Shultis Faw'!$A$2:$A$26,1)))/(INDEX('Shultis Faw'!$A$2:$A$26,MATCH($C544,'Shultis Faw'!$A$2:$A$26,1)+1)-INDEX('Shultis Faw'!$A$2:$A$26,MATCH($C544,'Shultis Faw'!$A$2:$A$26,1))),$C544*'Shultis Faw'!$D$2/'Shultis Faw'!$A$2)</f>
        <v>1.2478031999999999</v>
      </c>
      <c r="K544" s="83">
        <f>_xlfn.IFNA(INDEX('Shultis Faw'!$B$2:$B$26,MATCH($C544,'Shultis Faw'!$A$2:$A$26,1))+($C544-INDEX('Shultis Faw'!$A$2:$A$26,MATCH($C544,'Shultis Faw'!$A$2:$A$26,1)))*(INDEX('Shultis Faw'!$B$2:$B$26,MATCH($C544,'Shultis Faw'!$A$2:$A$26,1)+1)-INDEX('Shultis Faw'!$B$2:$B$26,MATCH($C544,'Shultis Faw'!$A$2:$A$26,1)))/(INDEX('Shultis Faw'!$A$2:$A$26,MATCH($C544,'Shultis Faw'!$A$2:$A$26,1)+1)-INDEX('Shultis Faw'!$A$2:$A$26,MATCH($C544,'Shultis Faw'!$A$2:$A$26,1))),$C544*'Shultis Faw'!$B$2/'Shultis Faw'!$A$2)</f>
        <v>-5.38048E-2</v>
      </c>
      <c r="L544" s="83">
        <f>_xlfn.IFNA(INDEX('Shultis Faw'!$E$2:$E$26,MATCH($C544,'Shultis Faw'!$A$2:$A$26,1))+($C544-INDEX('Shultis Faw'!$A$2:$A$26,MATCH($C544,'Shultis Faw'!$A$2:$A$26,1)))*(INDEX('Shultis Faw'!$E$2:$E$26,MATCH($C544,'Shultis Faw'!$A$2:$A$26,1)+1)-INDEX('Shultis Faw'!$E$2:$E$26,MATCH($C544,'Shultis Faw'!$A$2:$A$26,1)))/(INDEX('Shultis Faw'!$A$2:$A$26,MATCH($C544,'Shultis Faw'!$A$2:$A$26,1)+1)-INDEX('Shultis Faw'!$A$2:$A$26,MATCH($C544,'Shultis Faw'!$A$2:$A$26,1))),$C544*'Shultis Faw'!$E$2/'Shultis Faw'!$A$2)</f>
        <v>2.2723199999999999E-2</v>
      </c>
      <c r="M544" s="83">
        <f>_xlfn.IFNA(INDEX('Shultis Faw'!$F$2:$F$26,MATCH($C544,'Shultis Faw'!$A$2:$A$26,1))+($C544-INDEX('Shultis Faw'!$A$2:$A$26,MATCH($C544,'Shultis Faw'!$A$2:$A$26,1)))*(INDEX('Shultis Faw'!$F$2:$F$26,MATCH($C544,'Shultis Faw'!$A$2:$A$26,1)+1)-INDEX('Shultis Faw'!$F$2:$F$26,MATCH($C544,'Shultis Faw'!$A$2:$A$26,1)))/(INDEX('Shultis Faw'!$A$2:$A$26,MATCH($C544,'Shultis Faw'!$A$2:$A$26,1)+1)-INDEX('Shultis Faw'!$A$2:$A$26,MATCH($C544,'Shultis Faw'!$A$2:$A$26,1))),$C544*'Shultis Faw'!$F$2/'Shultis Faw'!$A$2)</f>
        <v>14.420639999999999</v>
      </c>
      <c r="N544" s="83">
        <f>J544*(H544*'Externe blootstelling'!$D$23/2)^K544+L544*(TANH(((H544*'Externe blootstelling'!$D$23)/(2*M544))-2)-TANH(-2))/(1-TANH(-2))</f>
        <v>1.2601244339292317</v>
      </c>
      <c r="O544" s="83">
        <f>IF(N544=1,1+(I544-1)*H544*'Externe blootstelling'!$D$23/2,1+(I544-1)*(N544^(H544*'Externe blootstelling'!$D$23/2)-1)/(N544-1))</f>
        <v>1.7493693435052386</v>
      </c>
      <c r="P544" s="67">
        <f>G544*EXP(-H544*'Externe blootstelling'!$D$23/2)*O544</f>
        <v>4.781803022382596E-3</v>
      </c>
      <c r="Q544" s="68"/>
    </row>
    <row r="545" spans="1:17" x14ac:dyDescent="0.2">
      <c r="A545" s="217"/>
      <c r="B545" s="64" t="s">
        <v>104</v>
      </c>
      <c r="C545" s="66">
        <v>1.65249</v>
      </c>
      <c r="D545" s="66">
        <f t="shared" si="37"/>
        <v>2.643984E-13</v>
      </c>
      <c r="E545" s="66">
        <v>3.5000000000000004E-5</v>
      </c>
      <c r="F545" s="66">
        <f>_xlfn.IFNA(INDEX('hp (pSv cm2)'!$B$2:$B$52,MATCH($C545,'hp (pSv cm2)'!$A$2:$A$52,1))+($C545-INDEX('hp (pSv cm2)'!$A$2:$A$52,MATCH($C545,'hp (pSv cm2)'!$A$2:$A$52,1)))*(INDEX('hp (pSv cm2)'!$B$2:$B$52,MATCH($C545,'hp (pSv cm2)'!$A$2:$A$52,1)+1)-INDEX('hp (pSv cm2)'!$B$2:$B$52,MATCH($C545,'hp (pSv cm2)'!$A$2:$A$52,1)))/(INDEX('hp (pSv cm2)'!$A$2:$A$52,MATCH($C545,'hp (pSv cm2)'!$A$2:$A$52,1)+1)-INDEX('hp (pSv cm2)'!$A$2:$A$52,MATCH($C545,'hp (pSv cm2)'!$A$2:$A$52,1))),$C545*'hp (pSv cm2)'!$B$2/'hp (pSv cm2)'!$A$2)</f>
        <v>6.5347728000000007</v>
      </c>
      <c r="G545" s="67">
        <f t="shared" si="39"/>
        <v>2.2871704800000005E-4</v>
      </c>
      <c r="H545" s="83">
        <f>_xlfn.IFNA(0.997*(INDEX('Mass attenuation coefficients'!$B$2:$B$37,MATCH($C545,'Mass attenuation coefficients'!$A$2:$A$37,1))+($C545-INDEX('Mass attenuation coefficients'!$A$2:$A$37,MATCH($C545,'Mass attenuation coefficients'!$A$2:$A$37,1)))*(INDEX('Mass attenuation coefficients'!$B$2:$B$37,MATCH($C545,'Mass attenuation coefficients'!$A$2:$A$37,1)+1)-INDEX('Mass attenuation coefficients'!$B$2:$B$37,MATCH($C545,'Mass attenuation coefficients'!$A$2:$A$37,1)))/(INDEX('Mass attenuation coefficients'!$A$2:$A$37,MATCH($C545,'Mass attenuation coefficients'!$A$2:$A$37,1)+1)-INDEX('Mass attenuation coefficients'!$A$2:$A$37,MATCH($C545,'Mass attenuation coefficients'!$A$2:$A$37,1)))),0.997*$C545*'Mass attenuation coefficients'!$B$2/'Mass attenuation coefficients'!$A$2)</f>
        <v>5.4898371712800001E-2</v>
      </c>
      <c r="I545" s="83">
        <f>_xlfn.IFNA(INDEX('Shultis Faw'!$C$2:$C$26,MATCH($C545,'Shultis Faw'!$A$2:$A$26,1))+($C545-INDEX('Shultis Faw'!$A$2:$A$26,MATCH($C545,'Shultis Faw'!$A$2:$A$26,1)))*(INDEX('Shultis Faw'!$C$2:$C$26,MATCH($C545,'Shultis Faw'!$A$2:$A$26,1)+1)-INDEX('Shultis Faw'!$C$2:$C$26,MATCH($C545,'Shultis Faw'!$A$2:$A$26,1)))/(INDEX('Shultis Faw'!$A$2:$A$26,MATCH($C545,'Shultis Faw'!$A$2:$A$26,1)+1)-INDEX('Shultis Faw'!$A$2:$A$26,MATCH($C545,'Shultis Faw'!$A$2:$A$26,1))),$C545*'Shultis Faw'!$C$2/'Shultis Faw'!$A$2)</f>
        <v>1.9085019999999999</v>
      </c>
      <c r="J545" s="83">
        <f>_xlfn.IFNA(INDEX('Shultis Faw'!$D$2:$D$26,MATCH($C545,'Shultis Faw'!$A$2:$A$26,1))+($C545-INDEX('Shultis Faw'!$A$2:$A$26,MATCH($C545,'Shultis Faw'!$A$2:$A$26,1)))*(INDEX('Shultis Faw'!$D$2:$D$26,MATCH($C545,'Shultis Faw'!$A$2:$A$26,1)+1)-INDEX('Shultis Faw'!$D$2:$D$26,MATCH($C545,'Shultis Faw'!$A$2:$A$26,1)))/(INDEX('Shultis Faw'!$A$2:$A$26,MATCH($C545,'Shultis Faw'!$A$2:$A$26,1)+1)-INDEX('Shultis Faw'!$A$2:$A$26,MATCH($C545,'Shultis Faw'!$A$2:$A$26,1))),$C545*'Shultis Faw'!$D$2/'Shultis Faw'!$A$2)</f>
        <v>1.23972192</v>
      </c>
      <c r="K545" s="83">
        <f>_xlfn.IFNA(INDEX('Shultis Faw'!$B$2:$B$26,MATCH($C545,'Shultis Faw'!$A$2:$A$26,1))+($C545-INDEX('Shultis Faw'!$A$2:$A$26,MATCH($C545,'Shultis Faw'!$A$2:$A$26,1)))*(INDEX('Shultis Faw'!$B$2:$B$26,MATCH($C545,'Shultis Faw'!$A$2:$A$26,1)+1)-INDEX('Shultis Faw'!$B$2:$B$26,MATCH($C545,'Shultis Faw'!$A$2:$A$26,1)))/(INDEX('Shultis Faw'!$A$2:$A$26,MATCH($C545,'Shultis Faw'!$A$2:$A$26,1)+1)-INDEX('Shultis Faw'!$A$2:$A$26,MATCH($C545,'Shultis Faw'!$A$2:$A$26,1))),$C545*'Shultis Faw'!$B$2/'Shultis Faw'!$A$2)</f>
        <v>-5.2205380000000003E-2</v>
      </c>
      <c r="L545" s="83">
        <f>_xlfn.IFNA(INDEX('Shultis Faw'!$E$2:$E$26,MATCH($C545,'Shultis Faw'!$A$2:$A$26,1))+($C545-INDEX('Shultis Faw'!$A$2:$A$26,MATCH($C545,'Shultis Faw'!$A$2:$A$26,1)))*(INDEX('Shultis Faw'!$E$2:$E$26,MATCH($C545,'Shultis Faw'!$A$2:$A$26,1)+1)-INDEX('Shultis Faw'!$E$2:$E$26,MATCH($C545,'Shultis Faw'!$A$2:$A$26,1)))/(INDEX('Shultis Faw'!$A$2:$A$26,MATCH($C545,'Shultis Faw'!$A$2:$A$26,1)+1)-INDEX('Shultis Faw'!$A$2:$A$26,MATCH($C545,'Shultis Faw'!$A$2:$A$26,1))),$C545*'Shultis Faw'!$E$2/'Shultis Faw'!$A$2)</f>
        <v>2.200767E-2</v>
      </c>
      <c r="M545" s="83">
        <f>_xlfn.IFNA(INDEX('Shultis Faw'!$F$2:$F$26,MATCH($C545,'Shultis Faw'!$A$2:$A$26,1))+($C545-INDEX('Shultis Faw'!$A$2:$A$26,MATCH($C545,'Shultis Faw'!$A$2:$A$26,1)))*(INDEX('Shultis Faw'!$F$2:$F$26,MATCH($C545,'Shultis Faw'!$A$2:$A$26,1)+1)-INDEX('Shultis Faw'!$F$2:$F$26,MATCH($C545,'Shultis Faw'!$A$2:$A$26,1)))/(INDEX('Shultis Faw'!$A$2:$A$26,MATCH($C545,'Shultis Faw'!$A$2:$A$26,1)+1)-INDEX('Shultis Faw'!$A$2:$A$26,MATCH($C545,'Shultis Faw'!$A$2:$A$26,1))),$C545*'Shultis Faw'!$F$2/'Shultis Faw'!$A$2)</f>
        <v>14.382759</v>
      </c>
      <c r="N545" s="83">
        <f>J545*(H545*'Externe blootstelling'!$D$23/2)^K545+L545*(TANH(((H545*'Externe blootstelling'!$D$23)/(2*M545))-2)-TANH(-2))/(1-TANH(-2))</f>
        <v>1.2524038194869787</v>
      </c>
      <c r="O545" s="83">
        <f>IF(N545=1,1+(I545-1)*H545*'Externe blootstelling'!$D$23/2,1+(I545-1)*(N545^(H545*'Externe blootstelling'!$D$23/2)-1)/(N545-1))</f>
        <v>1.7329167302146158</v>
      </c>
      <c r="P545" s="67">
        <f>G545*EXP(-H545*'Externe blootstelling'!$D$23/2)*O545</f>
        <v>1.7395837139003157E-4</v>
      </c>
      <c r="Q545" s="68"/>
    </row>
    <row r="546" spans="1:17" x14ac:dyDescent="0.2">
      <c r="A546" s="217"/>
      <c r="B546" s="64" t="s">
        <v>104</v>
      </c>
      <c r="C546" s="66">
        <v>1.66997</v>
      </c>
      <c r="D546" s="66">
        <f t="shared" si="37"/>
        <v>2.6719519999999997E-13</v>
      </c>
      <c r="E546" s="66">
        <v>1.0399999999999999E-4</v>
      </c>
      <c r="F546" s="66">
        <f>_xlfn.IFNA(INDEX('hp (pSv cm2)'!$B$2:$B$52,MATCH($C546,'hp (pSv cm2)'!$A$2:$A$52,1))+($C546-INDEX('hp (pSv cm2)'!$A$2:$A$52,MATCH($C546,'hp (pSv cm2)'!$A$2:$A$52,1)))*(INDEX('hp (pSv cm2)'!$B$2:$B$52,MATCH($C546,'hp (pSv cm2)'!$A$2:$A$52,1)+1)-INDEX('hp (pSv cm2)'!$B$2:$B$52,MATCH($C546,'hp (pSv cm2)'!$A$2:$A$52,1)))/(INDEX('hp (pSv cm2)'!$A$2:$A$52,MATCH($C546,'hp (pSv cm2)'!$A$2:$A$52,1)+1)-INDEX('hp (pSv cm2)'!$A$2:$A$52,MATCH($C546,'hp (pSv cm2)'!$A$2:$A$52,1))),$C546*'hp (pSv cm2)'!$B$2/'hp (pSv cm2)'!$A$2)</f>
        <v>6.5823184000000001</v>
      </c>
      <c r="G546" s="67">
        <f t="shared" si="39"/>
        <v>6.8456111359999994E-4</v>
      </c>
      <c r="H546" s="83">
        <f>_xlfn.IFNA(0.997*(INDEX('Mass attenuation coefficients'!$B$2:$B$37,MATCH($C546,'Mass attenuation coefficients'!$A$2:$A$37,1))+($C546-INDEX('Mass attenuation coefficients'!$A$2:$A$37,MATCH($C546,'Mass attenuation coefficients'!$A$2:$A$37,1)))*(INDEX('Mass attenuation coefficients'!$B$2:$B$37,MATCH($C546,'Mass attenuation coefficients'!$A$2:$A$37,1)+1)-INDEX('Mass attenuation coefficients'!$B$2:$B$37,MATCH($C546,'Mass attenuation coefficients'!$A$2:$A$37,1)))/(INDEX('Mass attenuation coefficients'!$A$2:$A$37,MATCH($C546,'Mass attenuation coefficients'!$A$2:$A$37,1)+1)-INDEX('Mass attenuation coefficients'!$A$2:$A$37,MATCH($C546,'Mass attenuation coefficients'!$A$2:$A$37,1)))),0.997*$C546*'Mass attenuation coefficients'!$B$2/'Mass attenuation coefficients'!$A$2)</f>
        <v>5.4615348138400001E-2</v>
      </c>
      <c r="I546" s="83">
        <f>_xlfn.IFNA(INDEX('Shultis Faw'!$C$2:$C$26,MATCH($C546,'Shultis Faw'!$A$2:$A$26,1))+($C546-INDEX('Shultis Faw'!$A$2:$A$26,MATCH($C546,'Shultis Faw'!$A$2:$A$26,1)))*(INDEX('Shultis Faw'!$C$2:$C$26,MATCH($C546,'Shultis Faw'!$A$2:$A$26,1)+1)-INDEX('Shultis Faw'!$C$2:$C$26,MATCH($C546,'Shultis Faw'!$A$2:$A$26,1)))/(INDEX('Shultis Faw'!$A$2:$A$26,MATCH($C546,'Shultis Faw'!$A$2:$A$26,1)+1)-INDEX('Shultis Faw'!$A$2:$A$26,MATCH($C546,'Shultis Faw'!$A$2:$A$26,1))),$C546*'Shultis Faw'!$C$2/'Shultis Faw'!$A$2)</f>
        <v>1.905006</v>
      </c>
      <c r="J546" s="83">
        <f>_xlfn.IFNA(INDEX('Shultis Faw'!$D$2:$D$26,MATCH($C546,'Shultis Faw'!$A$2:$A$26,1))+($C546-INDEX('Shultis Faw'!$A$2:$A$26,MATCH($C546,'Shultis Faw'!$A$2:$A$26,1)))*(INDEX('Shultis Faw'!$D$2:$D$26,MATCH($C546,'Shultis Faw'!$A$2:$A$26,1)+1)-INDEX('Shultis Faw'!$D$2:$D$26,MATCH($C546,'Shultis Faw'!$A$2:$A$26,1)))/(INDEX('Shultis Faw'!$A$2:$A$26,MATCH($C546,'Shultis Faw'!$A$2:$A$26,1)+1)-INDEX('Shultis Faw'!$A$2:$A$26,MATCH($C546,'Shultis Faw'!$A$2:$A$26,1))),$C546*'Shultis Faw'!$D$2/'Shultis Faw'!$A$2)</f>
        <v>1.23636576</v>
      </c>
      <c r="K546" s="83">
        <f>_xlfn.IFNA(INDEX('Shultis Faw'!$B$2:$B$26,MATCH($C546,'Shultis Faw'!$A$2:$A$26,1))+($C546-INDEX('Shultis Faw'!$A$2:$A$26,MATCH($C546,'Shultis Faw'!$A$2:$A$26,1)))*(INDEX('Shultis Faw'!$B$2:$B$26,MATCH($C546,'Shultis Faw'!$A$2:$A$26,1)+1)-INDEX('Shultis Faw'!$B$2:$B$26,MATCH($C546,'Shultis Faw'!$A$2:$A$26,1)))/(INDEX('Shultis Faw'!$A$2:$A$26,MATCH($C546,'Shultis Faw'!$A$2:$A$26,1)+1)-INDEX('Shultis Faw'!$A$2:$A$26,MATCH($C546,'Shultis Faw'!$A$2:$A$26,1))),$C546*'Shultis Faw'!$B$2/'Shultis Faw'!$A$2)</f>
        <v>-5.1541140000000006E-2</v>
      </c>
      <c r="L546" s="83">
        <f>_xlfn.IFNA(INDEX('Shultis Faw'!$E$2:$E$26,MATCH($C546,'Shultis Faw'!$A$2:$A$26,1))+($C546-INDEX('Shultis Faw'!$A$2:$A$26,MATCH($C546,'Shultis Faw'!$A$2:$A$26,1)))*(INDEX('Shultis Faw'!$E$2:$E$26,MATCH($C546,'Shultis Faw'!$A$2:$A$26,1)+1)-INDEX('Shultis Faw'!$E$2:$E$26,MATCH($C546,'Shultis Faw'!$A$2:$A$26,1)))/(INDEX('Shultis Faw'!$A$2:$A$26,MATCH($C546,'Shultis Faw'!$A$2:$A$26,1)+1)-INDEX('Shultis Faw'!$A$2:$A$26,MATCH($C546,'Shultis Faw'!$A$2:$A$26,1))),$C546*'Shultis Faw'!$E$2/'Shultis Faw'!$A$2)</f>
        <v>2.1710510000000002E-2</v>
      </c>
      <c r="M546" s="83">
        <f>_xlfn.IFNA(INDEX('Shultis Faw'!$F$2:$F$26,MATCH($C546,'Shultis Faw'!$A$2:$A$26,1))+($C546-INDEX('Shultis Faw'!$A$2:$A$26,MATCH($C546,'Shultis Faw'!$A$2:$A$26,1)))*(INDEX('Shultis Faw'!$F$2:$F$26,MATCH($C546,'Shultis Faw'!$A$2:$A$26,1)+1)-INDEX('Shultis Faw'!$F$2:$F$26,MATCH($C546,'Shultis Faw'!$A$2:$A$26,1)))/(INDEX('Shultis Faw'!$A$2:$A$26,MATCH($C546,'Shultis Faw'!$A$2:$A$26,1)+1)-INDEX('Shultis Faw'!$A$2:$A$26,MATCH($C546,'Shultis Faw'!$A$2:$A$26,1))),$C546*'Shultis Faw'!$F$2/'Shultis Faw'!$A$2)</f>
        <v>14.367027</v>
      </c>
      <c r="N546" s="83">
        <f>J546*(H546*'Externe blootstelling'!$D$23/2)^K546+L546*(TANH(((H546*'Externe blootstelling'!$D$23)/(2*M546))-2)-TANH(-2))/(1-TANH(-2))</f>
        <v>1.2491842183178226</v>
      </c>
      <c r="O546" s="83">
        <f>IF(N546=1,1+(I546-1)*H546*'Externe blootstelling'!$D$23/2,1+(I546-1)*(N546^(H546*'Externe blootstelling'!$D$23/2)-1)/(N546-1))</f>
        <v>1.7261552264529114</v>
      </c>
      <c r="P546" s="67">
        <f>G546*EXP(-H546*'Externe blootstelling'!$D$23/2)*O546</f>
        <v>5.208406931038257E-4</v>
      </c>
      <c r="Q546" s="68"/>
    </row>
    <row r="547" spans="1:17" x14ac:dyDescent="0.2">
      <c r="A547" s="217"/>
      <c r="B547" s="64" t="s">
        <v>104</v>
      </c>
      <c r="C547" s="66">
        <v>1.7859500000000001</v>
      </c>
      <c r="D547" s="66">
        <f t="shared" si="37"/>
        <v>2.8575200000000001E-13</v>
      </c>
      <c r="E547" s="66">
        <v>1.95E-4</v>
      </c>
      <c r="F547" s="66">
        <f>_xlfn.IFNA(INDEX('hp (pSv cm2)'!$B$2:$B$52,MATCH($C547,'hp (pSv cm2)'!$A$2:$A$52,1))+($C547-INDEX('hp (pSv cm2)'!$A$2:$A$52,MATCH($C547,'hp (pSv cm2)'!$A$2:$A$52,1)))*(INDEX('hp (pSv cm2)'!$B$2:$B$52,MATCH($C547,'hp (pSv cm2)'!$A$2:$A$52,1)+1)-INDEX('hp (pSv cm2)'!$B$2:$B$52,MATCH($C547,'hp (pSv cm2)'!$A$2:$A$52,1)))/(INDEX('hp (pSv cm2)'!$A$2:$A$52,MATCH($C547,'hp (pSv cm2)'!$A$2:$A$52,1)+1)-INDEX('hp (pSv cm2)'!$A$2:$A$52,MATCH($C547,'hp (pSv cm2)'!$A$2:$A$52,1))),$C547*'hp (pSv cm2)'!$B$2/'hp (pSv cm2)'!$A$2)</f>
        <v>6.8977840000000006</v>
      </c>
      <c r="G547" s="67">
        <f t="shared" si="39"/>
        <v>1.3450678800000001E-3</v>
      </c>
      <c r="H547" s="83">
        <f>_xlfn.IFNA(0.997*(INDEX('Mass attenuation coefficients'!$B$2:$B$37,MATCH($C547,'Mass attenuation coefficients'!$A$2:$A$37,1))+($C547-INDEX('Mass attenuation coefficients'!$A$2:$A$37,MATCH($C547,'Mass attenuation coefficients'!$A$2:$A$37,1)))*(INDEX('Mass attenuation coefficients'!$B$2:$B$37,MATCH($C547,'Mass attenuation coefficients'!$A$2:$A$37,1)+1)-INDEX('Mass attenuation coefficients'!$B$2:$B$37,MATCH($C547,'Mass attenuation coefficients'!$A$2:$A$37,1)))/(INDEX('Mass attenuation coefficients'!$A$2:$A$37,MATCH($C547,'Mass attenuation coefficients'!$A$2:$A$37,1)+1)-INDEX('Mass attenuation coefficients'!$A$2:$A$37,MATCH($C547,'Mass attenuation coefficients'!$A$2:$A$37,1)))),0.997*$C547*'Mass attenuation coefficients'!$B$2/'Mass attenuation coefficients'!$A$2)</f>
        <v>5.2737483484000001E-2</v>
      </c>
      <c r="I547" s="83">
        <f>_xlfn.IFNA(INDEX('Shultis Faw'!$C$2:$C$26,MATCH($C547,'Shultis Faw'!$A$2:$A$26,1))+($C547-INDEX('Shultis Faw'!$A$2:$A$26,MATCH($C547,'Shultis Faw'!$A$2:$A$26,1)))*(INDEX('Shultis Faw'!$C$2:$C$26,MATCH($C547,'Shultis Faw'!$A$2:$A$26,1)+1)-INDEX('Shultis Faw'!$C$2:$C$26,MATCH($C547,'Shultis Faw'!$A$2:$A$26,1)))/(INDEX('Shultis Faw'!$A$2:$A$26,MATCH($C547,'Shultis Faw'!$A$2:$A$26,1)+1)-INDEX('Shultis Faw'!$A$2:$A$26,MATCH($C547,'Shultis Faw'!$A$2:$A$26,1))),$C547*'Shultis Faw'!$C$2/'Shultis Faw'!$A$2)</f>
        <v>1.88181</v>
      </c>
      <c r="J547" s="83">
        <f>_xlfn.IFNA(INDEX('Shultis Faw'!$D$2:$D$26,MATCH($C547,'Shultis Faw'!$A$2:$A$26,1))+($C547-INDEX('Shultis Faw'!$A$2:$A$26,MATCH($C547,'Shultis Faw'!$A$2:$A$26,1)))*(INDEX('Shultis Faw'!$D$2:$D$26,MATCH($C547,'Shultis Faw'!$A$2:$A$26,1)+1)-INDEX('Shultis Faw'!$D$2:$D$26,MATCH($C547,'Shultis Faw'!$A$2:$A$26,1)))/(INDEX('Shultis Faw'!$A$2:$A$26,MATCH($C547,'Shultis Faw'!$A$2:$A$26,1)+1)-INDEX('Shultis Faw'!$A$2:$A$26,MATCH($C547,'Shultis Faw'!$A$2:$A$26,1))),$C547*'Shultis Faw'!$D$2/'Shultis Faw'!$A$2)</f>
        <v>1.2140975999999999</v>
      </c>
      <c r="K547" s="83">
        <f>_xlfn.IFNA(INDEX('Shultis Faw'!$B$2:$B$26,MATCH($C547,'Shultis Faw'!$A$2:$A$26,1))+($C547-INDEX('Shultis Faw'!$A$2:$A$26,MATCH($C547,'Shultis Faw'!$A$2:$A$26,1)))*(INDEX('Shultis Faw'!$B$2:$B$26,MATCH($C547,'Shultis Faw'!$A$2:$A$26,1)+1)-INDEX('Shultis Faw'!$B$2:$B$26,MATCH($C547,'Shultis Faw'!$A$2:$A$26,1)))/(INDEX('Shultis Faw'!$A$2:$A$26,MATCH($C547,'Shultis Faw'!$A$2:$A$26,1)+1)-INDEX('Shultis Faw'!$A$2:$A$26,MATCH($C547,'Shultis Faw'!$A$2:$A$26,1))),$C547*'Shultis Faw'!$B$2/'Shultis Faw'!$A$2)</f>
        <v>-4.7133899999999992E-2</v>
      </c>
      <c r="L547" s="83">
        <f>_xlfn.IFNA(INDEX('Shultis Faw'!$E$2:$E$26,MATCH($C547,'Shultis Faw'!$A$2:$A$26,1))+($C547-INDEX('Shultis Faw'!$A$2:$A$26,MATCH($C547,'Shultis Faw'!$A$2:$A$26,1)))*(INDEX('Shultis Faw'!$E$2:$E$26,MATCH($C547,'Shultis Faw'!$A$2:$A$26,1)+1)-INDEX('Shultis Faw'!$E$2:$E$26,MATCH($C547,'Shultis Faw'!$A$2:$A$26,1)))/(INDEX('Shultis Faw'!$A$2:$A$26,MATCH($C547,'Shultis Faw'!$A$2:$A$26,1)+1)-INDEX('Shultis Faw'!$A$2:$A$26,MATCH($C547,'Shultis Faw'!$A$2:$A$26,1))),$C547*'Shultis Faw'!$E$2/'Shultis Faw'!$A$2)</f>
        <v>1.9738849999999999E-2</v>
      </c>
      <c r="M547" s="83">
        <f>_xlfn.IFNA(INDEX('Shultis Faw'!$F$2:$F$26,MATCH($C547,'Shultis Faw'!$A$2:$A$26,1))+($C547-INDEX('Shultis Faw'!$A$2:$A$26,MATCH($C547,'Shultis Faw'!$A$2:$A$26,1)))*(INDEX('Shultis Faw'!$F$2:$F$26,MATCH($C547,'Shultis Faw'!$A$2:$A$26,1)+1)-INDEX('Shultis Faw'!$F$2:$F$26,MATCH($C547,'Shultis Faw'!$A$2:$A$26,1)))/(INDEX('Shultis Faw'!$A$2:$A$26,MATCH($C547,'Shultis Faw'!$A$2:$A$26,1)+1)-INDEX('Shultis Faw'!$A$2:$A$26,MATCH($C547,'Shultis Faw'!$A$2:$A$26,1))),$C547*'Shultis Faw'!$F$2/'Shultis Faw'!$A$2)</f>
        <v>14.262644999999999</v>
      </c>
      <c r="N547" s="83">
        <f>J547*(H547*'Externe blootstelling'!$D$23/2)^K547+L547*(TANH(((H547*'Externe blootstelling'!$D$23)/(2*M547))-2)-TANH(-2))/(1-TANH(-2))</f>
        <v>1.2276258724008795</v>
      </c>
      <c r="O547" s="83">
        <f>IF(N547=1,1+(I547-1)*H547*'Externe blootstelling'!$D$23/2,1+(I547-1)*(N547^(H547*'Externe blootstelling'!$D$23/2)-1)/(N547-1))</f>
        <v>1.6823330448738765</v>
      </c>
      <c r="P547" s="67">
        <f>G547*EXP(-H547*'Externe blootstelling'!$D$23/2)*O547</f>
        <v>1.0258933306830803E-3</v>
      </c>
      <c r="Q547" s="68"/>
    </row>
    <row r="548" spans="1:17" x14ac:dyDescent="0.2">
      <c r="A548" s="217"/>
      <c r="B548" s="64" t="s">
        <v>104</v>
      </c>
      <c r="C548" s="66">
        <v>1.8020399999999999</v>
      </c>
      <c r="D548" s="66">
        <f t="shared" si="37"/>
        <v>2.8832639999999994E-13</v>
      </c>
      <c r="E548" s="66">
        <v>3.5999999999999997E-4</v>
      </c>
      <c r="F548" s="66">
        <f>_xlfn.IFNA(INDEX('hp (pSv cm2)'!$B$2:$B$52,MATCH($C548,'hp (pSv cm2)'!$A$2:$A$52,1))+($C548-INDEX('hp (pSv cm2)'!$A$2:$A$52,MATCH($C548,'hp (pSv cm2)'!$A$2:$A$52,1)))*(INDEX('hp (pSv cm2)'!$B$2:$B$52,MATCH($C548,'hp (pSv cm2)'!$A$2:$A$52,1)+1)-INDEX('hp (pSv cm2)'!$B$2:$B$52,MATCH($C548,'hp (pSv cm2)'!$A$2:$A$52,1)))/(INDEX('hp (pSv cm2)'!$A$2:$A$52,MATCH($C548,'hp (pSv cm2)'!$A$2:$A$52,1)+1)-INDEX('hp (pSv cm2)'!$A$2:$A$52,MATCH($C548,'hp (pSv cm2)'!$A$2:$A$52,1))),$C548*'hp (pSv cm2)'!$B$2/'hp (pSv cm2)'!$A$2)</f>
        <v>6.9415487999999996</v>
      </c>
      <c r="G548" s="67">
        <f t="shared" si="39"/>
        <v>2.4989575679999995E-3</v>
      </c>
      <c r="H548" s="83">
        <f>_xlfn.IFNA(0.997*(INDEX('Mass attenuation coefficients'!$B$2:$B$37,MATCH($C548,'Mass attenuation coefficients'!$A$2:$A$37,1))+($C548-INDEX('Mass attenuation coefficients'!$A$2:$A$37,MATCH($C548,'Mass attenuation coefficients'!$A$2:$A$37,1)))*(INDEX('Mass attenuation coefficients'!$B$2:$B$37,MATCH($C548,'Mass attenuation coefficients'!$A$2:$A$37,1)+1)-INDEX('Mass attenuation coefficients'!$B$2:$B$37,MATCH($C548,'Mass attenuation coefficients'!$A$2:$A$37,1)))/(INDEX('Mass attenuation coefficients'!$A$2:$A$37,MATCH($C548,'Mass attenuation coefficients'!$A$2:$A$37,1)+1)-INDEX('Mass attenuation coefficients'!$A$2:$A$37,MATCH($C548,'Mass attenuation coefficients'!$A$2:$A$37,1)))),0.997*$C548*'Mass attenuation coefficients'!$B$2/'Mass attenuation coefficients'!$A$2)</f>
        <v>5.2476965788800005E-2</v>
      </c>
      <c r="I548" s="83">
        <f>_xlfn.IFNA(INDEX('Shultis Faw'!$C$2:$C$26,MATCH($C548,'Shultis Faw'!$A$2:$A$26,1))+($C548-INDEX('Shultis Faw'!$A$2:$A$26,MATCH($C548,'Shultis Faw'!$A$2:$A$26,1)))*(INDEX('Shultis Faw'!$C$2:$C$26,MATCH($C548,'Shultis Faw'!$A$2:$A$26,1)+1)-INDEX('Shultis Faw'!$C$2:$C$26,MATCH($C548,'Shultis Faw'!$A$2:$A$26,1)))/(INDEX('Shultis Faw'!$A$2:$A$26,MATCH($C548,'Shultis Faw'!$A$2:$A$26,1)+1)-INDEX('Shultis Faw'!$A$2:$A$26,MATCH($C548,'Shultis Faw'!$A$2:$A$26,1))),$C548*'Shultis Faw'!$C$2/'Shultis Faw'!$A$2)</f>
        <v>1.878592</v>
      </c>
      <c r="J548" s="83">
        <f>_xlfn.IFNA(INDEX('Shultis Faw'!$D$2:$D$26,MATCH($C548,'Shultis Faw'!$A$2:$A$26,1))+($C548-INDEX('Shultis Faw'!$A$2:$A$26,MATCH($C548,'Shultis Faw'!$A$2:$A$26,1)))*(INDEX('Shultis Faw'!$D$2:$D$26,MATCH($C548,'Shultis Faw'!$A$2:$A$26,1)+1)-INDEX('Shultis Faw'!$D$2:$D$26,MATCH($C548,'Shultis Faw'!$A$2:$A$26,1)))/(INDEX('Shultis Faw'!$A$2:$A$26,MATCH($C548,'Shultis Faw'!$A$2:$A$26,1)+1)-INDEX('Shultis Faw'!$A$2:$A$26,MATCH($C548,'Shultis Faw'!$A$2:$A$26,1))),$C548*'Shultis Faw'!$D$2/'Shultis Faw'!$A$2)</f>
        <v>1.2110083199999999</v>
      </c>
      <c r="K548" s="83">
        <f>_xlfn.IFNA(INDEX('Shultis Faw'!$B$2:$B$26,MATCH($C548,'Shultis Faw'!$A$2:$A$26,1))+($C548-INDEX('Shultis Faw'!$A$2:$A$26,MATCH($C548,'Shultis Faw'!$A$2:$A$26,1)))*(INDEX('Shultis Faw'!$B$2:$B$26,MATCH($C548,'Shultis Faw'!$A$2:$A$26,1)+1)-INDEX('Shultis Faw'!$B$2:$B$26,MATCH($C548,'Shultis Faw'!$A$2:$A$26,1)))/(INDEX('Shultis Faw'!$A$2:$A$26,MATCH($C548,'Shultis Faw'!$A$2:$A$26,1)+1)-INDEX('Shultis Faw'!$A$2:$A$26,MATCH($C548,'Shultis Faw'!$A$2:$A$26,1))),$C548*'Shultis Faw'!$B$2/'Shultis Faw'!$A$2)</f>
        <v>-4.6522480000000005E-2</v>
      </c>
      <c r="L548" s="83">
        <f>_xlfn.IFNA(INDEX('Shultis Faw'!$E$2:$E$26,MATCH($C548,'Shultis Faw'!$A$2:$A$26,1))+($C548-INDEX('Shultis Faw'!$A$2:$A$26,MATCH($C548,'Shultis Faw'!$A$2:$A$26,1)))*(INDEX('Shultis Faw'!$E$2:$E$26,MATCH($C548,'Shultis Faw'!$A$2:$A$26,1)+1)-INDEX('Shultis Faw'!$E$2:$E$26,MATCH($C548,'Shultis Faw'!$A$2:$A$26,1)))/(INDEX('Shultis Faw'!$A$2:$A$26,MATCH($C548,'Shultis Faw'!$A$2:$A$26,1)+1)-INDEX('Shultis Faw'!$A$2:$A$26,MATCH($C548,'Shultis Faw'!$A$2:$A$26,1))),$C548*'Shultis Faw'!$E$2/'Shultis Faw'!$A$2)</f>
        <v>1.9465320000000001E-2</v>
      </c>
      <c r="M548" s="83">
        <f>_xlfn.IFNA(INDEX('Shultis Faw'!$F$2:$F$26,MATCH($C548,'Shultis Faw'!$A$2:$A$26,1))+($C548-INDEX('Shultis Faw'!$A$2:$A$26,MATCH($C548,'Shultis Faw'!$A$2:$A$26,1)))*(INDEX('Shultis Faw'!$F$2:$F$26,MATCH($C548,'Shultis Faw'!$A$2:$A$26,1)+1)-INDEX('Shultis Faw'!$F$2:$F$26,MATCH($C548,'Shultis Faw'!$A$2:$A$26,1)))/(INDEX('Shultis Faw'!$A$2:$A$26,MATCH($C548,'Shultis Faw'!$A$2:$A$26,1)+1)-INDEX('Shultis Faw'!$A$2:$A$26,MATCH($C548,'Shultis Faw'!$A$2:$A$26,1))),$C548*'Shultis Faw'!$F$2/'Shultis Faw'!$A$2)</f>
        <v>14.248164000000001</v>
      </c>
      <c r="N548" s="83">
        <f>J548*(H548*'Externe blootstelling'!$D$23/2)^K548+L548*(TANH(((H548*'Externe blootstelling'!$D$23)/(2*M548))-2)-TANH(-2))/(1-TANH(-2))</f>
        <v>1.2246081627909633</v>
      </c>
      <c r="O548" s="83">
        <f>IF(N548=1,1+(I548-1)*H548*'Externe blootstelling'!$D$23/2,1+(I548-1)*(N548^(H548*'Externe blootstelling'!$D$23/2)-1)/(N548-1))</f>
        <v>1.676394207170987</v>
      </c>
      <c r="P548" s="67">
        <f>G548*EXP(-H548*'Externe blootstelling'!$D$23/2)*O548</f>
        <v>1.9066816342624725E-3</v>
      </c>
      <c r="Q548" s="68"/>
    </row>
    <row r="549" spans="1:17" x14ac:dyDescent="0.2">
      <c r="A549" s="217"/>
      <c r="B549" s="64" t="s">
        <v>104</v>
      </c>
      <c r="C549" s="66">
        <v>1.8075999999999999</v>
      </c>
      <c r="D549" s="66">
        <f t="shared" si="37"/>
        <v>2.8921599999999997E-13</v>
      </c>
      <c r="E549" s="66">
        <v>8.599999999999999E-6</v>
      </c>
      <c r="F549" s="66">
        <f>_xlfn.IFNA(INDEX('hp (pSv cm2)'!$B$2:$B$52,MATCH($C549,'hp (pSv cm2)'!$A$2:$A$52,1))+($C549-INDEX('hp (pSv cm2)'!$A$2:$A$52,MATCH($C549,'hp (pSv cm2)'!$A$2:$A$52,1)))*(INDEX('hp (pSv cm2)'!$B$2:$B$52,MATCH($C549,'hp (pSv cm2)'!$A$2:$A$52,1)+1)-INDEX('hp (pSv cm2)'!$B$2:$B$52,MATCH($C549,'hp (pSv cm2)'!$A$2:$A$52,1)))/(INDEX('hp (pSv cm2)'!$A$2:$A$52,MATCH($C549,'hp (pSv cm2)'!$A$2:$A$52,1)+1)-INDEX('hp (pSv cm2)'!$A$2:$A$52,MATCH($C549,'hp (pSv cm2)'!$A$2:$A$52,1))),$C549*'hp (pSv cm2)'!$B$2/'hp (pSv cm2)'!$A$2)</f>
        <v>6.9566720000000002</v>
      </c>
      <c r="G549" s="67">
        <f t="shared" si="39"/>
        <v>5.9827379199999995E-5</v>
      </c>
      <c r="H549" s="83">
        <f>_xlfn.IFNA(0.997*(INDEX('Mass attenuation coefficients'!$B$2:$B$37,MATCH($C549,'Mass attenuation coefficients'!$A$2:$A$37,1))+($C549-INDEX('Mass attenuation coefficients'!$A$2:$A$37,MATCH($C549,'Mass attenuation coefficients'!$A$2:$A$37,1)))*(INDEX('Mass attenuation coefficients'!$B$2:$B$37,MATCH($C549,'Mass attenuation coefficients'!$A$2:$A$37,1)+1)-INDEX('Mass attenuation coefficients'!$B$2:$B$37,MATCH($C549,'Mass attenuation coefficients'!$A$2:$A$37,1)))/(INDEX('Mass attenuation coefficients'!$A$2:$A$37,MATCH($C549,'Mass attenuation coefficients'!$A$2:$A$37,1)+1)-INDEX('Mass attenuation coefficients'!$A$2:$A$37,MATCH($C549,'Mass attenuation coefficients'!$A$2:$A$37,1)))),0.997*$C549*'Mass attenuation coefficients'!$B$2/'Mass attenuation coefficients'!$A$2)</f>
        <v>5.2386942272000005E-2</v>
      </c>
      <c r="I549" s="83">
        <f>_xlfn.IFNA(INDEX('Shultis Faw'!$C$2:$C$26,MATCH($C549,'Shultis Faw'!$A$2:$A$26,1))+($C549-INDEX('Shultis Faw'!$A$2:$A$26,MATCH($C549,'Shultis Faw'!$A$2:$A$26,1)))*(INDEX('Shultis Faw'!$C$2:$C$26,MATCH($C549,'Shultis Faw'!$A$2:$A$26,1)+1)-INDEX('Shultis Faw'!$C$2:$C$26,MATCH($C549,'Shultis Faw'!$A$2:$A$26,1)))/(INDEX('Shultis Faw'!$A$2:$A$26,MATCH($C549,'Shultis Faw'!$A$2:$A$26,1)+1)-INDEX('Shultis Faw'!$A$2:$A$26,MATCH($C549,'Shultis Faw'!$A$2:$A$26,1))),$C549*'Shultis Faw'!$C$2/'Shultis Faw'!$A$2)</f>
        <v>1.87748</v>
      </c>
      <c r="J549" s="83">
        <f>_xlfn.IFNA(INDEX('Shultis Faw'!$D$2:$D$26,MATCH($C549,'Shultis Faw'!$A$2:$A$26,1))+($C549-INDEX('Shultis Faw'!$A$2:$A$26,MATCH($C549,'Shultis Faw'!$A$2:$A$26,1)))*(INDEX('Shultis Faw'!$D$2:$D$26,MATCH($C549,'Shultis Faw'!$A$2:$A$26,1)+1)-INDEX('Shultis Faw'!$D$2:$D$26,MATCH($C549,'Shultis Faw'!$A$2:$A$26,1)))/(INDEX('Shultis Faw'!$A$2:$A$26,MATCH($C549,'Shultis Faw'!$A$2:$A$26,1)+1)-INDEX('Shultis Faw'!$A$2:$A$26,MATCH($C549,'Shultis Faw'!$A$2:$A$26,1))),$C549*'Shultis Faw'!$D$2/'Shultis Faw'!$A$2)</f>
        <v>1.2099408</v>
      </c>
      <c r="K549" s="83">
        <f>_xlfn.IFNA(INDEX('Shultis Faw'!$B$2:$B$26,MATCH($C549,'Shultis Faw'!$A$2:$A$26,1))+($C549-INDEX('Shultis Faw'!$A$2:$A$26,MATCH($C549,'Shultis Faw'!$A$2:$A$26,1)))*(INDEX('Shultis Faw'!$B$2:$B$26,MATCH($C549,'Shultis Faw'!$A$2:$A$26,1)+1)-INDEX('Shultis Faw'!$B$2:$B$26,MATCH($C549,'Shultis Faw'!$A$2:$A$26,1)))/(INDEX('Shultis Faw'!$A$2:$A$26,MATCH($C549,'Shultis Faw'!$A$2:$A$26,1)+1)-INDEX('Shultis Faw'!$A$2:$A$26,MATCH($C549,'Shultis Faw'!$A$2:$A$26,1))),$C549*'Shultis Faw'!$B$2/'Shultis Faw'!$A$2)</f>
        <v>-4.6311200000000004E-2</v>
      </c>
      <c r="L549" s="83">
        <f>_xlfn.IFNA(INDEX('Shultis Faw'!$E$2:$E$26,MATCH($C549,'Shultis Faw'!$A$2:$A$26,1))+($C549-INDEX('Shultis Faw'!$A$2:$A$26,MATCH($C549,'Shultis Faw'!$A$2:$A$26,1)))*(INDEX('Shultis Faw'!$E$2:$E$26,MATCH($C549,'Shultis Faw'!$A$2:$A$26,1)+1)-INDEX('Shultis Faw'!$E$2:$E$26,MATCH($C549,'Shultis Faw'!$A$2:$A$26,1)))/(INDEX('Shultis Faw'!$A$2:$A$26,MATCH($C549,'Shultis Faw'!$A$2:$A$26,1)+1)-INDEX('Shultis Faw'!$A$2:$A$26,MATCH($C549,'Shultis Faw'!$A$2:$A$26,1))),$C549*'Shultis Faw'!$E$2/'Shultis Faw'!$A$2)</f>
        <v>1.9370800000000001E-2</v>
      </c>
      <c r="M549" s="83">
        <f>_xlfn.IFNA(INDEX('Shultis Faw'!$F$2:$F$26,MATCH($C549,'Shultis Faw'!$A$2:$A$26,1))+($C549-INDEX('Shultis Faw'!$A$2:$A$26,MATCH($C549,'Shultis Faw'!$A$2:$A$26,1)))*(INDEX('Shultis Faw'!$F$2:$F$26,MATCH($C549,'Shultis Faw'!$A$2:$A$26,1)+1)-INDEX('Shultis Faw'!$F$2:$F$26,MATCH($C549,'Shultis Faw'!$A$2:$A$26,1)))/(INDEX('Shultis Faw'!$A$2:$A$26,MATCH($C549,'Shultis Faw'!$A$2:$A$26,1)+1)-INDEX('Shultis Faw'!$A$2:$A$26,MATCH($C549,'Shultis Faw'!$A$2:$A$26,1))),$C549*'Shultis Faw'!$F$2/'Shultis Faw'!$A$2)</f>
        <v>14.24316</v>
      </c>
      <c r="N549" s="83">
        <f>J549*(H549*'Externe blootstelling'!$D$23/2)^K549+L549*(TANH(((H549*'Externe blootstelling'!$D$23)/(2*M549))-2)-TANH(-2))/(1-TANH(-2))</f>
        <v>1.223563852541721</v>
      </c>
      <c r="O549" s="83">
        <f>IF(N549=1,1+(I549-1)*H549*'Externe blootstelling'!$D$23/2,1+(I549-1)*(N549^(H549*'Externe blootstelling'!$D$23/2)-1)/(N549-1))</f>
        <v>1.6743498590721111</v>
      </c>
      <c r="P549" s="67">
        <f>G549*EXP(-H549*'Externe blootstelling'!$D$23/2)*O549</f>
        <v>4.5653679871648953E-5</v>
      </c>
      <c r="Q549" s="68"/>
    </row>
    <row r="550" spans="1:17" x14ac:dyDescent="0.2">
      <c r="A550" s="217"/>
      <c r="B550" s="64" t="s">
        <v>104</v>
      </c>
      <c r="C550" s="66">
        <v>1.8095399999999999</v>
      </c>
      <c r="D550" s="66">
        <f t="shared" si="37"/>
        <v>2.8952639999999997E-13</v>
      </c>
      <c r="E550" s="66">
        <v>3.9999999999999998E-6</v>
      </c>
      <c r="F550" s="66">
        <f>_xlfn.IFNA(INDEX('hp (pSv cm2)'!$B$2:$B$52,MATCH($C550,'hp (pSv cm2)'!$A$2:$A$52,1))+($C550-INDEX('hp (pSv cm2)'!$A$2:$A$52,MATCH($C550,'hp (pSv cm2)'!$A$2:$A$52,1)))*(INDEX('hp (pSv cm2)'!$B$2:$B$52,MATCH($C550,'hp (pSv cm2)'!$A$2:$A$52,1)+1)-INDEX('hp (pSv cm2)'!$B$2:$B$52,MATCH($C550,'hp (pSv cm2)'!$A$2:$A$52,1)))/(INDEX('hp (pSv cm2)'!$A$2:$A$52,MATCH($C550,'hp (pSv cm2)'!$A$2:$A$52,1)+1)-INDEX('hp (pSv cm2)'!$A$2:$A$52,MATCH($C550,'hp (pSv cm2)'!$A$2:$A$52,1))),$C550*'hp (pSv cm2)'!$B$2/'hp (pSv cm2)'!$A$2)</f>
        <v>6.9619488</v>
      </c>
      <c r="G550" s="67">
        <f t="shared" si="39"/>
        <v>2.7847795199999997E-5</v>
      </c>
      <c r="H550" s="83">
        <f>_xlfn.IFNA(0.997*(INDEX('Mass attenuation coefficients'!$B$2:$B$37,MATCH($C550,'Mass attenuation coefficients'!$A$2:$A$37,1))+($C550-INDEX('Mass attenuation coefficients'!$A$2:$A$37,MATCH($C550,'Mass attenuation coefficients'!$A$2:$A$37,1)))*(INDEX('Mass attenuation coefficients'!$B$2:$B$37,MATCH($C550,'Mass attenuation coefficients'!$A$2:$A$37,1)+1)-INDEX('Mass attenuation coefficients'!$B$2:$B$37,MATCH($C550,'Mass attenuation coefficients'!$A$2:$A$37,1)))/(INDEX('Mass attenuation coefficients'!$A$2:$A$37,MATCH($C550,'Mass attenuation coefficients'!$A$2:$A$37,1)+1)-INDEX('Mass attenuation coefficients'!$A$2:$A$37,MATCH($C550,'Mass attenuation coefficients'!$A$2:$A$37,1)))),0.997*$C550*'Mass attenuation coefficients'!$B$2/'Mass attenuation coefficients'!$A$2)</f>
        <v>5.23555311888E-2</v>
      </c>
      <c r="I550" s="83">
        <f>_xlfn.IFNA(INDEX('Shultis Faw'!$C$2:$C$26,MATCH($C550,'Shultis Faw'!$A$2:$A$26,1))+($C550-INDEX('Shultis Faw'!$A$2:$A$26,MATCH($C550,'Shultis Faw'!$A$2:$A$26,1)))*(INDEX('Shultis Faw'!$C$2:$C$26,MATCH($C550,'Shultis Faw'!$A$2:$A$26,1)+1)-INDEX('Shultis Faw'!$C$2:$C$26,MATCH($C550,'Shultis Faw'!$A$2:$A$26,1)))/(INDEX('Shultis Faw'!$A$2:$A$26,MATCH($C550,'Shultis Faw'!$A$2:$A$26,1)+1)-INDEX('Shultis Faw'!$A$2:$A$26,MATCH($C550,'Shultis Faw'!$A$2:$A$26,1))),$C550*'Shultis Faw'!$C$2/'Shultis Faw'!$A$2)</f>
        <v>1.877092</v>
      </c>
      <c r="J550" s="83">
        <f>_xlfn.IFNA(INDEX('Shultis Faw'!$D$2:$D$26,MATCH($C550,'Shultis Faw'!$A$2:$A$26,1))+($C550-INDEX('Shultis Faw'!$A$2:$A$26,MATCH($C550,'Shultis Faw'!$A$2:$A$26,1)))*(INDEX('Shultis Faw'!$D$2:$D$26,MATCH($C550,'Shultis Faw'!$A$2:$A$26,1)+1)-INDEX('Shultis Faw'!$D$2:$D$26,MATCH($C550,'Shultis Faw'!$A$2:$A$26,1)))/(INDEX('Shultis Faw'!$A$2:$A$26,MATCH($C550,'Shultis Faw'!$A$2:$A$26,1)+1)-INDEX('Shultis Faw'!$A$2:$A$26,MATCH($C550,'Shultis Faw'!$A$2:$A$26,1))),$C550*'Shultis Faw'!$D$2/'Shultis Faw'!$A$2)</f>
        <v>1.20956832</v>
      </c>
      <c r="K550" s="83">
        <f>_xlfn.IFNA(INDEX('Shultis Faw'!$B$2:$B$26,MATCH($C550,'Shultis Faw'!$A$2:$A$26,1))+($C550-INDEX('Shultis Faw'!$A$2:$A$26,MATCH($C550,'Shultis Faw'!$A$2:$A$26,1)))*(INDEX('Shultis Faw'!$B$2:$B$26,MATCH($C550,'Shultis Faw'!$A$2:$A$26,1)+1)-INDEX('Shultis Faw'!$B$2:$B$26,MATCH($C550,'Shultis Faw'!$A$2:$A$26,1)))/(INDEX('Shultis Faw'!$A$2:$A$26,MATCH($C550,'Shultis Faw'!$A$2:$A$26,1)+1)-INDEX('Shultis Faw'!$A$2:$A$26,MATCH($C550,'Shultis Faw'!$A$2:$A$26,1))),$C550*'Shultis Faw'!$B$2/'Shultis Faw'!$A$2)</f>
        <v>-4.6237480000000004E-2</v>
      </c>
      <c r="L550" s="83">
        <f>_xlfn.IFNA(INDEX('Shultis Faw'!$E$2:$E$26,MATCH($C550,'Shultis Faw'!$A$2:$A$26,1))+($C550-INDEX('Shultis Faw'!$A$2:$A$26,MATCH($C550,'Shultis Faw'!$A$2:$A$26,1)))*(INDEX('Shultis Faw'!$E$2:$E$26,MATCH($C550,'Shultis Faw'!$A$2:$A$26,1)+1)-INDEX('Shultis Faw'!$E$2:$E$26,MATCH($C550,'Shultis Faw'!$A$2:$A$26,1)))/(INDEX('Shultis Faw'!$A$2:$A$26,MATCH($C550,'Shultis Faw'!$A$2:$A$26,1)+1)-INDEX('Shultis Faw'!$A$2:$A$26,MATCH($C550,'Shultis Faw'!$A$2:$A$26,1))),$C550*'Shultis Faw'!$E$2/'Shultis Faw'!$A$2)</f>
        <v>1.9337820000000002E-2</v>
      </c>
      <c r="M550" s="83">
        <f>_xlfn.IFNA(INDEX('Shultis Faw'!$F$2:$F$26,MATCH($C550,'Shultis Faw'!$A$2:$A$26,1))+($C550-INDEX('Shultis Faw'!$A$2:$A$26,MATCH($C550,'Shultis Faw'!$A$2:$A$26,1)))*(INDEX('Shultis Faw'!$F$2:$F$26,MATCH($C550,'Shultis Faw'!$A$2:$A$26,1)+1)-INDEX('Shultis Faw'!$F$2:$F$26,MATCH($C550,'Shultis Faw'!$A$2:$A$26,1)))/(INDEX('Shultis Faw'!$A$2:$A$26,MATCH($C550,'Shultis Faw'!$A$2:$A$26,1)+1)-INDEX('Shultis Faw'!$A$2:$A$26,MATCH($C550,'Shultis Faw'!$A$2:$A$26,1))),$C550*'Shultis Faw'!$F$2/'Shultis Faw'!$A$2)</f>
        <v>14.241414000000001</v>
      </c>
      <c r="N550" s="83">
        <f>J550*(H550*'Externe blootstelling'!$D$23/2)^K550+L550*(TANH(((H550*'Externe blootstelling'!$D$23)/(2*M550))-2)-TANH(-2))/(1-TANH(-2))</f>
        <v>1.2231992870008233</v>
      </c>
      <c r="O550" s="83">
        <f>IF(N550=1,1+(I550-1)*H550*'Externe blootstelling'!$D$23/2,1+(I550-1)*(N550^(H550*'Externe blootstelling'!$D$23/2)-1)/(N550-1))</f>
        <v>1.673637490438165</v>
      </c>
      <c r="P550" s="67">
        <f>G550*EXP(-H550*'Externe blootstelling'!$D$23/2)*O550</f>
        <v>2.1251345779253802E-5</v>
      </c>
      <c r="Q550" s="68"/>
    </row>
    <row r="551" spans="1:17" x14ac:dyDescent="0.2">
      <c r="A551" s="217"/>
      <c r="B551" s="64" t="s">
        <v>104</v>
      </c>
      <c r="C551" s="66">
        <v>1.8649100000000001</v>
      </c>
      <c r="D551" s="66">
        <f t="shared" si="37"/>
        <v>2.9838559999999999E-13</v>
      </c>
      <c r="E551" s="66">
        <v>5.0000000000000002E-5</v>
      </c>
      <c r="F551" s="66">
        <f>_xlfn.IFNA(INDEX('hp (pSv cm2)'!$B$2:$B$52,MATCH($C551,'hp (pSv cm2)'!$A$2:$A$52,1))+($C551-INDEX('hp (pSv cm2)'!$A$2:$A$52,MATCH($C551,'hp (pSv cm2)'!$A$2:$A$52,1)))*(INDEX('hp (pSv cm2)'!$B$2:$B$52,MATCH($C551,'hp (pSv cm2)'!$A$2:$A$52,1)+1)-INDEX('hp (pSv cm2)'!$B$2:$B$52,MATCH($C551,'hp (pSv cm2)'!$A$2:$A$52,1)))/(INDEX('hp (pSv cm2)'!$A$2:$A$52,MATCH($C551,'hp (pSv cm2)'!$A$2:$A$52,1)+1)-INDEX('hp (pSv cm2)'!$A$2:$A$52,MATCH($C551,'hp (pSv cm2)'!$A$2:$A$52,1))),$C551*'hp (pSv cm2)'!$B$2/'hp (pSv cm2)'!$A$2)</f>
        <v>7.112555200000001</v>
      </c>
      <c r="G551" s="67">
        <f t="shared" si="39"/>
        <v>3.5562776000000007E-4</v>
      </c>
      <c r="H551" s="83">
        <f>_xlfn.IFNA(0.997*(INDEX('Mass attenuation coefficients'!$B$2:$B$37,MATCH($C551,'Mass attenuation coefficients'!$A$2:$A$37,1))+($C551-INDEX('Mass attenuation coefficients'!$A$2:$A$37,MATCH($C551,'Mass attenuation coefficients'!$A$2:$A$37,1)))*(INDEX('Mass attenuation coefficients'!$B$2:$B$37,MATCH($C551,'Mass attenuation coefficients'!$A$2:$A$37,1)+1)-INDEX('Mass attenuation coefficients'!$B$2:$B$37,MATCH($C551,'Mass attenuation coefficients'!$A$2:$A$37,1)))/(INDEX('Mass attenuation coefficients'!$A$2:$A$37,MATCH($C551,'Mass attenuation coefficients'!$A$2:$A$37,1)+1)-INDEX('Mass attenuation coefficients'!$A$2:$A$37,MATCH($C551,'Mass attenuation coefficients'!$A$2:$A$37,1)))),0.997*$C551*'Mass attenuation coefficients'!$B$2/'Mass attenuation coefficients'!$A$2)</f>
        <v>5.1459020015199995E-2</v>
      </c>
      <c r="I551" s="83">
        <f>_xlfn.IFNA(INDEX('Shultis Faw'!$C$2:$C$26,MATCH($C551,'Shultis Faw'!$A$2:$A$26,1))+($C551-INDEX('Shultis Faw'!$A$2:$A$26,MATCH($C551,'Shultis Faw'!$A$2:$A$26,1)))*(INDEX('Shultis Faw'!$C$2:$C$26,MATCH($C551,'Shultis Faw'!$A$2:$A$26,1)+1)-INDEX('Shultis Faw'!$C$2:$C$26,MATCH($C551,'Shultis Faw'!$A$2:$A$26,1)))/(INDEX('Shultis Faw'!$A$2:$A$26,MATCH($C551,'Shultis Faw'!$A$2:$A$26,1)+1)-INDEX('Shultis Faw'!$A$2:$A$26,MATCH($C551,'Shultis Faw'!$A$2:$A$26,1))),$C551*'Shultis Faw'!$C$2/'Shultis Faw'!$A$2)</f>
        <v>1.866018</v>
      </c>
      <c r="J551" s="83">
        <f>_xlfn.IFNA(INDEX('Shultis Faw'!$D$2:$D$26,MATCH($C551,'Shultis Faw'!$A$2:$A$26,1))+($C551-INDEX('Shultis Faw'!$A$2:$A$26,MATCH($C551,'Shultis Faw'!$A$2:$A$26,1)))*(INDEX('Shultis Faw'!$D$2:$D$26,MATCH($C551,'Shultis Faw'!$A$2:$A$26,1)+1)-INDEX('Shultis Faw'!$D$2:$D$26,MATCH($C551,'Shultis Faw'!$A$2:$A$26,1)))/(INDEX('Shultis Faw'!$A$2:$A$26,MATCH($C551,'Shultis Faw'!$A$2:$A$26,1)+1)-INDEX('Shultis Faw'!$A$2:$A$26,MATCH($C551,'Shultis Faw'!$A$2:$A$26,1))),$C551*'Shultis Faw'!$D$2/'Shultis Faw'!$A$2)</f>
        <v>1.19893728</v>
      </c>
      <c r="K551" s="83">
        <f>_xlfn.IFNA(INDEX('Shultis Faw'!$B$2:$B$26,MATCH($C551,'Shultis Faw'!$A$2:$A$26,1))+($C551-INDEX('Shultis Faw'!$A$2:$A$26,MATCH($C551,'Shultis Faw'!$A$2:$A$26,1)))*(INDEX('Shultis Faw'!$B$2:$B$26,MATCH($C551,'Shultis Faw'!$A$2:$A$26,1)+1)-INDEX('Shultis Faw'!$B$2:$B$26,MATCH($C551,'Shultis Faw'!$A$2:$A$26,1)))/(INDEX('Shultis Faw'!$A$2:$A$26,MATCH($C551,'Shultis Faw'!$A$2:$A$26,1)+1)-INDEX('Shultis Faw'!$A$2:$A$26,MATCH($C551,'Shultis Faw'!$A$2:$A$26,1))),$C551*'Shultis Faw'!$B$2/'Shultis Faw'!$A$2)</f>
        <v>-4.413342E-2</v>
      </c>
      <c r="L551" s="83">
        <f>_xlfn.IFNA(INDEX('Shultis Faw'!$E$2:$E$26,MATCH($C551,'Shultis Faw'!$A$2:$A$26,1))+($C551-INDEX('Shultis Faw'!$A$2:$A$26,MATCH($C551,'Shultis Faw'!$A$2:$A$26,1)))*(INDEX('Shultis Faw'!$E$2:$E$26,MATCH($C551,'Shultis Faw'!$A$2:$A$26,1)+1)-INDEX('Shultis Faw'!$E$2:$E$26,MATCH($C551,'Shultis Faw'!$A$2:$A$26,1)))/(INDEX('Shultis Faw'!$A$2:$A$26,MATCH($C551,'Shultis Faw'!$A$2:$A$26,1)+1)-INDEX('Shultis Faw'!$A$2:$A$26,MATCH($C551,'Shultis Faw'!$A$2:$A$26,1))),$C551*'Shultis Faw'!$E$2/'Shultis Faw'!$A$2)</f>
        <v>1.8396529999999998E-2</v>
      </c>
      <c r="M551" s="83">
        <f>_xlfn.IFNA(INDEX('Shultis Faw'!$F$2:$F$26,MATCH($C551,'Shultis Faw'!$A$2:$A$26,1))+($C551-INDEX('Shultis Faw'!$A$2:$A$26,MATCH($C551,'Shultis Faw'!$A$2:$A$26,1)))*(INDEX('Shultis Faw'!$F$2:$F$26,MATCH($C551,'Shultis Faw'!$A$2:$A$26,1)+1)-INDEX('Shultis Faw'!$F$2:$F$26,MATCH($C551,'Shultis Faw'!$A$2:$A$26,1)))/(INDEX('Shultis Faw'!$A$2:$A$26,MATCH($C551,'Shultis Faw'!$A$2:$A$26,1)+1)-INDEX('Shultis Faw'!$A$2:$A$26,MATCH($C551,'Shultis Faw'!$A$2:$A$26,1))),$C551*'Shultis Faw'!$F$2/'Shultis Faw'!$A$2)</f>
        <v>14.191580999999999</v>
      </c>
      <c r="N551" s="83">
        <f>J551*(H551*'Externe blootstelling'!$D$23/2)^K551+L551*(TANH(((H551*'Externe blootstelling'!$D$23)/(2*M551))-2)-TANH(-2))/(1-TANH(-2))</f>
        <v>1.2127540515293125</v>
      </c>
      <c r="O551" s="83">
        <f>IF(N551=1,1+(I551-1)*H551*'Externe blootstelling'!$D$23/2,1+(I551-1)*(N551^(H551*'Externe blootstelling'!$D$23/2)-1)/(N551-1))</f>
        <v>1.6535108218287671</v>
      </c>
      <c r="P551" s="67">
        <f>G551*EXP(-H551*'Externe blootstelling'!$D$23/2)*O551</f>
        <v>2.7175476594568858E-4</v>
      </c>
      <c r="Q551" s="68"/>
    </row>
    <row r="552" spans="1:17" x14ac:dyDescent="0.2">
      <c r="A552" s="217"/>
      <c r="B552" s="64" t="s">
        <v>104</v>
      </c>
      <c r="C552" s="66">
        <v>1.8672</v>
      </c>
      <c r="D552" s="66">
        <f t="shared" si="37"/>
        <v>2.9875200000000001E-13</v>
      </c>
      <c r="E552" s="66">
        <v>4.6E-6</v>
      </c>
      <c r="F552" s="66">
        <f>_xlfn.IFNA(INDEX('hp (pSv cm2)'!$B$2:$B$52,MATCH($C552,'hp (pSv cm2)'!$A$2:$A$52,1))+($C552-INDEX('hp (pSv cm2)'!$A$2:$A$52,MATCH($C552,'hp (pSv cm2)'!$A$2:$A$52,1)))*(INDEX('hp (pSv cm2)'!$B$2:$B$52,MATCH($C552,'hp (pSv cm2)'!$A$2:$A$52,1)+1)-INDEX('hp (pSv cm2)'!$B$2:$B$52,MATCH($C552,'hp (pSv cm2)'!$A$2:$A$52,1)))/(INDEX('hp (pSv cm2)'!$A$2:$A$52,MATCH($C552,'hp (pSv cm2)'!$A$2:$A$52,1)+1)-INDEX('hp (pSv cm2)'!$A$2:$A$52,MATCH($C552,'hp (pSv cm2)'!$A$2:$A$52,1))),$C552*'hp (pSv cm2)'!$B$2/'hp (pSv cm2)'!$A$2)</f>
        <v>7.1187839999999998</v>
      </c>
      <c r="G552" s="67">
        <f t="shared" si="39"/>
        <v>3.2746406399999998E-5</v>
      </c>
      <c r="H552" s="83">
        <f>_xlfn.IFNA(0.997*(INDEX('Mass attenuation coefficients'!$B$2:$B$37,MATCH($C552,'Mass attenuation coefficients'!$A$2:$A$37,1))+($C552-INDEX('Mass attenuation coefficients'!$A$2:$A$37,MATCH($C552,'Mass attenuation coefficients'!$A$2:$A$37,1)))*(INDEX('Mass attenuation coefficients'!$B$2:$B$37,MATCH($C552,'Mass attenuation coefficients'!$A$2:$A$37,1)+1)-INDEX('Mass attenuation coefficients'!$B$2:$B$37,MATCH($C552,'Mass attenuation coefficients'!$A$2:$A$37,1)))/(INDEX('Mass attenuation coefficients'!$A$2:$A$37,MATCH($C552,'Mass attenuation coefficients'!$A$2:$A$37,1)+1)-INDEX('Mass attenuation coefficients'!$A$2:$A$37,MATCH($C552,'Mass attenuation coefficients'!$A$2:$A$37,1)))),0.997*$C552*'Mass attenuation coefficients'!$B$2/'Mass attenuation coefficients'!$A$2)</f>
        <v>5.1421941983999998E-2</v>
      </c>
      <c r="I552" s="83">
        <f>_xlfn.IFNA(INDEX('Shultis Faw'!$C$2:$C$26,MATCH($C552,'Shultis Faw'!$A$2:$A$26,1))+($C552-INDEX('Shultis Faw'!$A$2:$A$26,MATCH($C552,'Shultis Faw'!$A$2:$A$26,1)))*(INDEX('Shultis Faw'!$C$2:$C$26,MATCH($C552,'Shultis Faw'!$A$2:$A$26,1)+1)-INDEX('Shultis Faw'!$C$2:$C$26,MATCH($C552,'Shultis Faw'!$A$2:$A$26,1)))/(INDEX('Shultis Faw'!$A$2:$A$26,MATCH($C552,'Shultis Faw'!$A$2:$A$26,1)+1)-INDEX('Shultis Faw'!$A$2:$A$26,MATCH($C552,'Shultis Faw'!$A$2:$A$26,1))),$C552*'Shultis Faw'!$C$2/'Shultis Faw'!$A$2)</f>
        <v>1.8655599999999999</v>
      </c>
      <c r="J552" s="83">
        <f>_xlfn.IFNA(INDEX('Shultis Faw'!$D$2:$D$26,MATCH($C552,'Shultis Faw'!$A$2:$A$26,1))+($C552-INDEX('Shultis Faw'!$A$2:$A$26,MATCH($C552,'Shultis Faw'!$A$2:$A$26,1)))*(INDEX('Shultis Faw'!$D$2:$D$26,MATCH($C552,'Shultis Faw'!$A$2:$A$26,1)+1)-INDEX('Shultis Faw'!$D$2:$D$26,MATCH($C552,'Shultis Faw'!$A$2:$A$26,1)))/(INDEX('Shultis Faw'!$A$2:$A$26,MATCH($C552,'Shultis Faw'!$A$2:$A$26,1)+1)-INDEX('Shultis Faw'!$A$2:$A$26,MATCH($C552,'Shultis Faw'!$A$2:$A$26,1))),$C552*'Shultis Faw'!$D$2/'Shultis Faw'!$A$2)</f>
        <v>1.1984976000000001</v>
      </c>
      <c r="K552" s="83">
        <f>_xlfn.IFNA(INDEX('Shultis Faw'!$B$2:$B$26,MATCH($C552,'Shultis Faw'!$A$2:$A$26,1))+($C552-INDEX('Shultis Faw'!$A$2:$A$26,MATCH($C552,'Shultis Faw'!$A$2:$A$26,1)))*(INDEX('Shultis Faw'!$B$2:$B$26,MATCH($C552,'Shultis Faw'!$A$2:$A$26,1)+1)-INDEX('Shultis Faw'!$B$2:$B$26,MATCH($C552,'Shultis Faw'!$A$2:$A$26,1)))/(INDEX('Shultis Faw'!$A$2:$A$26,MATCH($C552,'Shultis Faw'!$A$2:$A$26,1)+1)-INDEX('Shultis Faw'!$A$2:$A$26,MATCH($C552,'Shultis Faw'!$A$2:$A$26,1))),$C552*'Shultis Faw'!$B$2/'Shultis Faw'!$A$2)</f>
        <v>-4.4046399999999999E-2</v>
      </c>
      <c r="L552" s="83">
        <f>_xlfn.IFNA(INDEX('Shultis Faw'!$E$2:$E$26,MATCH($C552,'Shultis Faw'!$A$2:$A$26,1))+($C552-INDEX('Shultis Faw'!$A$2:$A$26,MATCH($C552,'Shultis Faw'!$A$2:$A$26,1)))*(INDEX('Shultis Faw'!$E$2:$E$26,MATCH($C552,'Shultis Faw'!$A$2:$A$26,1)+1)-INDEX('Shultis Faw'!$E$2:$E$26,MATCH($C552,'Shultis Faw'!$A$2:$A$26,1)))/(INDEX('Shultis Faw'!$A$2:$A$26,MATCH($C552,'Shultis Faw'!$A$2:$A$26,1)+1)-INDEX('Shultis Faw'!$A$2:$A$26,MATCH($C552,'Shultis Faw'!$A$2:$A$26,1))),$C552*'Shultis Faw'!$E$2/'Shultis Faw'!$A$2)</f>
        <v>1.8357600000000002E-2</v>
      </c>
      <c r="M552" s="83">
        <f>_xlfn.IFNA(INDEX('Shultis Faw'!$F$2:$F$26,MATCH($C552,'Shultis Faw'!$A$2:$A$26,1))+($C552-INDEX('Shultis Faw'!$A$2:$A$26,MATCH($C552,'Shultis Faw'!$A$2:$A$26,1)))*(INDEX('Shultis Faw'!$F$2:$F$26,MATCH($C552,'Shultis Faw'!$A$2:$A$26,1)+1)-INDEX('Shultis Faw'!$F$2:$F$26,MATCH($C552,'Shultis Faw'!$A$2:$A$26,1)))/(INDEX('Shultis Faw'!$A$2:$A$26,MATCH($C552,'Shultis Faw'!$A$2:$A$26,1)+1)-INDEX('Shultis Faw'!$A$2:$A$26,MATCH($C552,'Shultis Faw'!$A$2:$A$26,1))),$C552*'Shultis Faw'!$F$2/'Shultis Faw'!$A$2)</f>
        <v>14.18952</v>
      </c>
      <c r="N552" s="83">
        <f>J552*(H552*'Externe blootstelling'!$D$23/2)^K552+L552*(TANH(((H552*'Externe blootstelling'!$D$23)/(2*M552))-2)-TANH(-2))/(1-TANH(-2))</f>
        <v>1.2123203891170877</v>
      </c>
      <c r="O552" s="83">
        <f>IF(N552=1,1+(I552-1)*H552*'Externe blootstelling'!$D$23/2,1+(I552-1)*(N552^(H552*'Externe blootstelling'!$D$23/2)-1)/(N552-1))</f>
        <v>1.6526869069921677</v>
      </c>
      <c r="P552" s="67">
        <f>G552*EXP(-H552*'Externe blootstelling'!$D$23/2)*O552</f>
        <v>2.5024778899989286E-5</v>
      </c>
      <c r="Q552" s="68"/>
    </row>
    <row r="553" spans="1:17" x14ac:dyDescent="0.2">
      <c r="A553" s="217"/>
      <c r="B553" s="64" t="s">
        <v>104</v>
      </c>
      <c r="C553" s="66">
        <v>1.9369000000000001</v>
      </c>
      <c r="D553" s="66">
        <f t="shared" si="37"/>
        <v>3.0990399999999996E-13</v>
      </c>
      <c r="E553" s="66">
        <v>2.1000000000000002E-6</v>
      </c>
      <c r="F553" s="66">
        <f>_xlfn.IFNA(INDEX('hp (pSv cm2)'!$B$2:$B$52,MATCH($C553,'hp (pSv cm2)'!$A$2:$A$52,1))+($C553-INDEX('hp (pSv cm2)'!$A$2:$A$52,MATCH($C553,'hp (pSv cm2)'!$A$2:$A$52,1)))*(INDEX('hp (pSv cm2)'!$B$2:$B$52,MATCH($C553,'hp (pSv cm2)'!$A$2:$A$52,1)+1)-INDEX('hp (pSv cm2)'!$B$2:$B$52,MATCH($C553,'hp (pSv cm2)'!$A$2:$A$52,1)))/(INDEX('hp (pSv cm2)'!$A$2:$A$52,MATCH($C553,'hp (pSv cm2)'!$A$2:$A$52,1)+1)-INDEX('hp (pSv cm2)'!$A$2:$A$52,MATCH($C553,'hp (pSv cm2)'!$A$2:$A$52,1))),$C553*'hp (pSv cm2)'!$B$2/'hp (pSv cm2)'!$A$2)</f>
        <v>7.3083680000000006</v>
      </c>
      <c r="G553" s="67">
        <f t="shared" si="39"/>
        <v>1.5347572800000002E-5</v>
      </c>
      <c r="H553" s="83">
        <f>_xlfn.IFNA(0.997*(INDEX('Mass attenuation coefficients'!$B$2:$B$37,MATCH($C553,'Mass attenuation coefficients'!$A$2:$A$37,1))+($C553-INDEX('Mass attenuation coefficients'!$A$2:$A$37,MATCH($C553,'Mass attenuation coefficients'!$A$2:$A$37,1)))*(INDEX('Mass attenuation coefficients'!$B$2:$B$37,MATCH($C553,'Mass attenuation coefficients'!$A$2:$A$37,1)+1)-INDEX('Mass attenuation coefficients'!$B$2:$B$37,MATCH($C553,'Mass attenuation coefficients'!$A$2:$A$37,1)))/(INDEX('Mass attenuation coefficients'!$A$2:$A$37,MATCH($C553,'Mass attenuation coefficients'!$A$2:$A$37,1)+1)-INDEX('Mass attenuation coefficients'!$A$2:$A$37,MATCH($C553,'Mass attenuation coefficients'!$A$2:$A$37,1)))),0.997*$C553*'Mass attenuation coefficients'!$B$2/'Mass attenuation coefficients'!$A$2)</f>
        <v>5.0293409768000001E-2</v>
      </c>
      <c r="I553" s="83">
        <f>_xlfn.IFNA(INDEX('Shultis Faw'!$C$2:$C$26,MATCH($C553,'Shultis Faw'!$A$2:$A$26,1))+($C553-INDEX('Shultis Faw'!$A$2:$A$26,MATCH($C553,'Shultis Faw'!$A$2:$A$26,1)))*(INDEX('Shultis Faw'!$C$2:$C$26,MATCH($C553,'Shultis Faw'!$A$2:$A$26,1)+1)-INDEX('Shultis Faw'!$C$2:$C$26,MATCH($C553,'Shultis Faw'!$A$2:$A$26,1)))/(INDEX('Shultis Faw'!$A$2:$A$26,MATCH($C553,'Shultis Faw'!$A$2:$A$26,1)+1)-INDEX('Shultis Faw'!$A$2:$A$26,MATCH($C553,'Shultis Faw'!$A$2:$A$26,1))),$C553*'Shultis Faw'!$C$2/'Shultis Faw'!$A$2)</f>
        <v>1.85162</v>
      </c>
      <c r="J553" s="83">
        <f>_xlfn.IFNA(INDEX('Shultis Faw'!$D$2:$D$26,MATCH($C553,'Shultis Faw'!$A$2:$A$26,1))+($C553-INDEX('Shultis Faw'!$A$2:$A$26,MATCH($C553,'Shultis Faw'!$A$2:$A$26,1)))*(INDEX('Shultis Faw'!$D$2:$D$26,MATCH($C553,'Shultis Faw'!$A$2:$A$26,1)+1)-INDEX('Shultis Faw'!$D$2:$D$26,MATCH($C553,'Shultis Faw'!$A$2:$A$26,1)))/(INDEX('Shultis Faw'!$A$2:$A$26,MATCH($C553,'Shultis Faw'!$A$2:$A$26,1)+1)-INDEX('Shultis Faw'!$A$2:$A$26,MATCH($C553,'Shultis Faw'!$A$2:$A$26,1))),$C553*'Shultis Faw'!$D$2/'Shultis Faw'!$A$2)</f>
        <v>1.1851152</v>
      </c>
      <c r="K553" s="83">
        <f>_xlfn.IFNA(INDEX('Shultis Faw'!$B$2:$B$26,MATCH($C553,'Shultis Faw'!$A$2:$A$26,1))+($C553-INDEX('Shultis Faw'!$A$2:$A$26,MATCH($C553,'Shultis Faw'!$A$2:$A$26,1)))*(INDEX('Shultis Faw'!$B$2:$B$26,MATCH($C553,'Shultis Faw'!$A$2:$A$26,1)+1)-INDEX('Shultis Faw'!$B$2:$B$26,MATCH($C553,'Shultis Faw'!$A$2:$A$26,1)))/(INDEX('Shultis Faw'!$A$2:$A$26,MATCH($C553,'Shultis Faw'!$A$2:$A$26,1)+1)-INDEX('Shultis Faw'!$A$2:$A$26,MATCH($C553,'Shultis Faw'!$A$2:$A$26,1))),$C553*'Shultis Faw'!$B$2/'Shultis Faw'!$A$2)</f>
        <v>-4.1397799999999998E-2</v>
      </c>
      <c r="L553" s="83">
        <f>_xlfn.IFNA(INDEX('Shultis Faw'!$E$2:$E$26,MATCH($C553,'Shultis Faw'!$A$2:$A$26,1))+($C553-INDEX('Shultis Faw'!$A$2:$A$26,MATCH($C553,'Shultis Faw'!$A$2:$A$26,1)))*(INDEX('Shultis Faw'!$E$2:$E$26,MATCH($C553,'Shultis Faw'!$A$2:$A$26,1)+1)-INDEX('Shultis Faw'!$E$2:$E$26,MATCH($C553,'Shultis Faw'!$A$2:$A$26,1)))/(INDEX('Shultis Faw'!$A$2:$A$26,MATCH($C553,'Shultis Faw'!$A$2:$A$26,1)+1)-INDEX('Shultis Faw'!$A$2:$A$26,MATCH($C553,'Shultis Faw'!$A$2:$A$26,1))),$C553*'Shultis Faw'!$E$2/'Shultis Faw'!$A$2)</f>
        <v>1.7172699999999999E-2</v>
      </c>
      <c r="M553" s="83">
        <f>_xlfn.IFNA(INDEX('Shultis Faw'!$F$2:$F$26,MATCH($C553,'Shultis Faw'!$A$2:$A$26,1))+($C553-INDEX('Shultis Faw'!$A$2:$A$26,MATCH($C553,'Shultis Faw'!$A$2:$A$26,1)))*(INDEX('Shultis Faw'!$F$2:$F$26,MATCH($C553,'Shultis Faw'!$A$2:$A$26,1)+1)-INDEX('Shultis Faw'!$F$2:$F$26,MATCH($C553,'Shultis Faw'!$A$2:$A$26,1)))/(INDEX('Shultis Faw'!$A$2:$A$26,MATCH($C553,'Shultis Faw'!$A$2:$A$26,1)+1)-INDEX('Shultis Faw'!$A$2:$A$26,MATCH($C553,'Shultis Faw'!$A$2:$A$26,1))),$C553*'Shultis Faw'!$F$2/'Shultis Faw'!$A$2)</f>
        <v>14.12679</v>
      </c>
      <c r="N553" s="83">
        <f>J553*(H553*'Externe blootstelling'!$D$23/2)^K553+L553*(TANH(((H553*'Externe blootstelling'!$D$23)/(2*M553))-2)-TANH(-2))/(1-TANH(-2))</f>
        <v>1.1990578776780558</v>
      </c>
      <c r="O553" s="83">
        <f>IF(N553=1,1+(I553-1)*H553*'Externe blootstelling'!$D$23/2,1+(I553-1)*(N553^(H553*'Externe blootstelling'!$D$23/2)-1)/(N553-1))</f>
        <v>1.6279279639769997</v>
      </c>
      <c r="P553" s="67">
        <f>G553*EXP(-H553*'Externe blootstelling'!$D$23/2)*O553</f>
        <v>1.175012888729874E-5</v>
      </c>
      <c r="Q553" s="68"/>
    </row>
    <row r="554" spans="1:17" x14ac:dyDescent="0.2">
      <c r="A554" s="217"/>
      <c r="B554" s="64" t="s">
        <v>104</v>
      </c>
      <c r="C554" s="66">
        <v>1.9409100000000001</v>
      </c>
      <c r="D554" s="66">
        <f t="shared" si="37"/>
        <v>3.1054560000000001E-13</v>
      </c>
      <c r="E554" s="66">
        <v>1.8500000000000002E-5</v>
      </c>
      <c r="F554" s="66">
        <f>_xlfn.IFNA(INDEX('hp (pSv cm2)'!$B$2:$B$52,MATCH($C554,'hp (pSv cm2)'!$A$2:$A$52,1))+($C554-INDEX('hp (pSv cm2)'!$A$2:$A$52,MATCH($C554,'hp (pSv cm2)'!$A$2:$A$52,1)))*(INDEX('hp (pSv cm2)'!$B$2:$B$52,MATCH($C554,'hp (pSv cm2)'!$A$2:$A$52,1)+1)-INDEX('hp (pSv cm2)'!$B$2:$B$52,MATCH($C554,'hp (pSv cm2)'!$A$2:$A$52,1)))/(INDEX('hp (pSv cm2)'!$A$2:$A$52,MATCH($C554,'hp (pSv cm2)'!$A$2:$A$52,1)+1)-INDEX('hp (pSv cm2)'!$A$2:$A$52,MATCH($C554,'hp (pSv cm2)'!$A$2:$A$52,1))),$C554*'hp (pSv cm2)'!$B$2/'hp (pSv cm2)'!$A$2)</f>
        <v>7.3192752000000008</v>
      </c>
      <c r="G554" s="67">
        <f t="shared" si="39"/>
        <v>1.3540659120000003E-4</v>
      </c>
      <c r="H554" s="83">
        <f>_xlfn.IFNA(0.997*(INDEX('Mass attenuation coefficients'!$B$2:$B$37,MATCH($C554,'Mass attenuation coefficients'!$A$2:$A$37,1))+($C554-INDEX('Mass attenuation coefficients'!$A$2:$A$37,MATCH($C554,'Mass attenuation coefficients'!$A$2:$A$37,1)))*(INDEX('Mass attenuation coefficients'!$B$2:$B$37,MATCH($C554,'Mass attenuation coefficients'!$A$2:$A$37,1)+1)-INDEX('Mass attenuation coefficients'!$B$2:$B$37,MATCH($C554,'Mass attenuation coefficients'!$A$2:$A$37,1)))/(INDEX('Mass attenuation coefficients'!$A$2:$A$37,MATCH($C554,'Mass attenuation coefficients'!$A$2:$A$37,1)+1)-INDEX('Mass attenuation coefficients'!$A$2:$A$37,MATCH($C554,'Mass attenuation coefficients'!$A$2:$A$37,1)))),0.997*$C554*'Mass attenuation coefficients'!$B$2/'Mass attenuation coefficients'!$A$2)</f>
        <v>5.0228482735199996E-2</v>
      </c>
      <c r="I554" s="83">
        <f>_xlfn.IFNA(INDEX('Shultis Faw'!$C$2:$C$26,MATCH($C554,'Shultis Faw'!$A$2:$A$26,1))+($C554-INDEX('Shultis Faw'!$A$2:$A$26,MATCH($C554,'Shultis Faw'!$A$2:$A$26,1)))*(INDEX('Shultis Faw'!$C$2:$C$26,MATCH($C554,'Shultis Faw'!$A$2:$A$26,1)+1)-INDEX('Shultis Faw'!$C$2:$C$26,MATCH($C554,'Shultis Faw'!$A$2:$A$26,1)))/(INDEX('Shultis Faw'!$A$2:$A$26,MATCH($C554,'Shultis Faw'!$A$2:$A$26,1)+1)-INDEX('Shultis Faw'!$A$2:$A$26,MATCH($C554,'Shultis Faw'!$A$2:$A$26,1))),$C554*'Shultis Faw'!$C$2/'Shultis Faw'!$A$2)</f>
        <v>1.8508179999999999</v>
      </c>
      <c r="J554" s="83">
        <f>_xlfn.IFNA(INDEX('Shultis Faw'!$D$2:$D$26,MATCH($C554,'Shultis Faw'!$A$2:$A$26,1))+($C554-INDEX('Shultis Faw'!$A$2:$A$26,MATCH($C554,'Shultis Faw'!$A$2:$A$26,1)))*(INDEX('Shultis Faw'!$D$2:$D$26,MATCH($C554,'Shultis Faw'!$A$2:$A$26,1)+1)-INDEX('Shultis Faw'!$D$2:$D$26,MATCH($C554,'Shultis Faw'!$A$2:$A$26,1)))/(INDEX('Shultis Faw'!$A$2:$A$26,MATCH($C554,'Shultis Faw'!$A$2:$A$26,1)+1)-INDEX('Shultis Faw'!$A$2:$A$26,MATCH($C554,'Shultis Faw'!$A$2:$A$26,1))),$C554*'Shultis Faw'!$D$2/'Shultis Faw'!$A$2)</f>
        <v>1.1843452800000001</v>
      </c>
      <c r="K554" s="83">
        <f>_xlfn.IFNA(INDEX('Shultis Faw'!$B$2:$B$26,MATCH($C554,'Shultis Faw'!$A$2:$A$26,1))+($C554-INDEX('Shultis Faw'!$A$2:$A$26,MATCH($C554,'Shultis Faw'!$A$2:$A$26,1)))*(INDEX('Shultis Faw'!$B$2:$B$26,MATCH($C554,'Shultis Faw'!$A$2:$A$26,1)+1)-INDEX('Shultis Faw'!$B$2:$B$26,MATCH($C554,'Shultis Faw'!$A$2:$A$26,1)))/(INDEX('Shultis Faw'!$A$2:$A$26,MATCH($C554,'Shultis Faw'!$A$2:$A$26,1)+1)-INDEX('Shultis Faw'!$A$2:$A$26,MATCH($C554,'Shultis Faw'!$A$2:$A$26,1))),$C554*'Shultis Faw'!$B$2/'Shultis Faw'!$A$2)</f>
        <v>-4.1245419999999991E-2</v>
      </c>
      <c r="L554" s="83">
        <f>_xlfn.IFNA(INDEX('Shultis Faw'!$E$2:$E$26,MATCH($C554,'Shultis Faw'!$A$2:$A$26,1))+($C554-INDEX('Shultis Faw'!$A$2:$A$26,MATCH($C554,'Shultis Faw'!$A$2:$A$26,1)))*(INDEX('Shultis Faw'!$E$2:$E$26,MATCH($C554,'Shultis Faw'!$A$2:$A$26,1)+1)-INDEX('Shultis Faw'!$E$2:$E$26,MATCH($C554,'Shultis Faw'!$A$2:$A$26,1)))/(INDEX('Shultis Faw'!$A$2:$A$26,MATCH($C554,'Shultis Faw'!$A$2:$A$26,1)+1)-INDEX('Shultis Faw'!$A$2:$A$26,MATCH($C554,'Shultis Faw'!$A$2:$A$26,1))),$C554*'Shultis Faw'!$E$2/'Shultis Faw'!$A$2)</f>
        <v>1.7104529999999996E-2</v>
      </c>
      <c r="M554" s="83">
        <f>_xlfn.IFNA(INDEX('Shultis Faw'!$F$2:$F$26,MATCH($C554,'Shultis Faw'!$A$2:$A$26,1))+($C554-INDEX('Shultis Faw'!$A$2:$A$26,MATCH($C554,'Shultis Faw'!$A$2:$A$26,1)))*(INDEX('Shultis Faw'!$F$2:$F$26,MATCH($C554,'Shultis Faw'!$A$2:$A$26,1)+1)-INDEX('Shultis Faw'!$F$2:$F$26,MATCH($C554,'Shultis Faw'!$A$2:$A$26,1)))/(INDEX('Shultis Faw'!$A$2:$A$26,MATCH($C554,'Shultis Faw'!$A$2:$A$26,1)+1)-INDEX('Shultis Faw'!$A$2:$A$26,MATCH($C554,'Shultis Faw'!$A$2:$A$26,1))),$C554*'Shultis Faw'!$F$2/'Shultis Faw'!$A$2)</f>
        <v>14.123181000000001</v>
      </c>
      <c r="N554" s="83">
        <f>J554*(H554*'Externe blootstelling'!$D$23/2)^K554+L554*(TANH(((H554*'Externe blootstelling'!$D$23)/(2*M554))-2)-TANH(-2))/(1-TANH(-2))</f>
        <v>1.1982911310097932</v>
      </c>
      <c r="O554" s="83">
        <f>IF(N554=1,1+(I554-1)*H554*'Externe blootstelling'!$D$23/2,1+(I554-1)*(N554^(H554*'Externe blootstelling'!$D$23/2)-1)/(N554-1))</f>
        <v>1.6265221285489431</v>
      </c>
      <c r="P554" s="67">
        <f>G554*EXP(-H554*'Externe blootstelling'!$D$23/2)*O554</f>
        <v>1.0367892556749569E-4</v>
      </c>
      <c r="Q554" s="68"/>
    </row>
    <row r="555" spans="1:17" x14ac:dyDescent="0.2">
      <c r="A555" s="217"/>
      <c r="B555" s="64" t="s">
        <v>104</v>
      </c>
      <c r="C555" s="66">
        <v>1.95696</v>
      </c>
      <c r="D555" s="66">
        <f t="shared" si="37"/>
        <v>3.1311359999999997E-13</v>
      </c>
      <c r="E555" s="66">
        <v>1.4999999999999999E-4</v>
      </c>
      <c r="F555" s="66">
        <f>_xlfn.IFNA(INDEX('hp (pSv cm2)'!$B$2:$B$52,MATCH($C555,'hp (pSv cm2)'!$A$2:$A$52,1))+($C555-INDEX('hp (pSv cm2)'!$A$2:$A$52,MATCH($C555,'hp (pSv cm2)'!$A$2:$A$52,1)))*(INDEX('hp (pSv cm2)'!$B$2:$B$52,MATCH($C555,'hp (pSv cm2)'!$A$2:$A$52,1)+1)-INDEX('hp (pSv cm2)'!$B$2:$B$52,MATCH($C555,'hp (pSv cm2)'!$A$2:$A$52,1)))/(INDEX('hp (pSv cm2)'!$A$2:$A$52,MATCH($C555,'hp (pSv cm2)'!$A$2:$A$52,1)+1)-INDEX('hp (pSv cm2)'!$A$2:$A$52,MATCH($C555,'hp (pSv cm2)'!$A$2:$A$52,1))),$C555*'hp (pSv cm2)'!$B$2/'hp (pSv cm2)'!$A$2)</f>
        <v>7.3629312000000002</v>
      </c>
      <c r="G555" s="67">
        <f t="shared" si="39"/>
        <v>1.1044396799999999E-3</v>
      </c>
      <c r="H555" s="83">
        <f>_xlfn.IFNA(0.997*(INDEX('Mass attenuation coefficients'!$B$2:$B$37,MATCH($C555,'Mass attenuation coefficients'!$A$2:$A$37,1))+($C555-INDEX('Mass attenuation coefficients'!$A$2:$A$37,MATCH($C555,'Mass attenuation coefficients'!$A$2:$A$37,1)))*(INDEX('Mass attenuation coefficients'!$B$2:$B$37,MATCH($C555,'Mass attenuation coefficients'!$A$2:$A$37,1)+1)-INDEX('Mass attenuation coefficients'!$B$2:$B$37,MATCH($C555,'Mass attenuation coefficients'!$A$2:$A$37,1)))/(INDEX('Mass attenuation coefficients'!$A$2:$A$37,MATCH($C555,'Mass attenuation coefficients'!$A$2:$A$37,1)+1)-INDEX('Mass attenuation coefficients'!$A$2:$A$37,MATCH($C555,'Mass attenuation coefficients'!$A$2:$A$37,1)))),0.997*$C555*'Mass attenuation coefficients'!$B$2/'Mass attenuation coefficients'!$A$2)</f>
        <v>4.9968612691200003E-2</v>
      </c>
      <c r="I555" s="83">
        <f>_xlfn.IFNA(INDEX('Shultis Faw'!$C$2:$C$26,MATCH($C555,'Shultis Faw'!$A$2:$A$26,1))+($C555-INDEX('Shultis Faw'!$A$2:$A$26,MATCH($C555,'Shultis Faw'!$A$2:$A$26,1)))*(INDEX('Shultis Faw'!$C$2:$C$26,MATCH($C555,'Shultis Faw'!$A$2:$A$26,1)+1)-INDEX('Shultis Faw'!$C$2:$C$26,MATCH($C555,'Shultis Faw'!$A$2:$A$26,1)))/(INDEX('Shultis Faw'!$A$2:$A$26,MATCH($C555,'Shultis Faw'!$A$2:$A$26,1)+1)-INDEX('Shultis Faw'!$A$2:$A$26,MATCH($C555,'Shultis Faw'!$A$2:$A$26,1))),$C555*'Shultis Faw'!$C$2/'Shultis Faw'!$A$2)</f>
        <v>1.8476079999999999</v>
      </c>
      <c r="J555" s="83">
        <f>_xlfn.IFNA(INDEX('Shultis Faw'!$D$2:$D$26,MATCH($C555,'Shultis Faw'!$A$2:$A$26,1))+($C555-INDEX('Shultis Faw'!$A$2:$A$26,MATCH($C555,'Shultis Faw'!$A$2:$A$26,1)))*(INDEX('Shultis Faw'!$D$2:$D$26,MATCH($C555,'Shultis Faw'!$A$2:$A$26,1)+1)-INDEX('Shultis Faw'!$D$2:$D$26,MATCH($C555,'Shultis Faw'!$A$2:$A$26,1)))/(INDEX('Shultis Faw'!$A$2:$A$26,MATCH($C555,'Shultis Faw'!$A$2:$A$26,1)+1)-INDEX('Shultis Faw'!$A$2:$A$26,MATCH($C555,'Shultis Faw'!$A$2:$A$26,1))),$C555*'Shultis Faw'!$D$2/'Shultis Faw'!$A$2)</f>
        <v>1.18126368</v>
      </c>
      <c r="K555" s="83">
        <f>_xlfn.IFNA(INDEX('Shultis Faw'!$B$2:$B$26,MATCH($C555,'Shultis Faw'!$A$2:$A$26,1))+($C555-INDEX('Shultis Faw'!$A$2:$A$26,MATCH($C555,'Shultis Faw'!$A$2:$A$26,1)))*(INDEX('Shultis Faw'!$B$2:$B$26,MATCH($C555,'Shultis Faw'!$A$2:$A$26,1)+1)-INDEX('Shultis Faw'!$B$2:$B$26,MATCH($C555,'Shultis Faw'!$A$2:$A$26,1)))/(INDEX('Shultis Faw'!$A$2:$A$26,MATCH($C555,'Shultis Faw'!$A$2:$A$26,1)+1)-INDEX('Shultis Faw'!$A$2:$A$26,MATCH($C555,'Shultis Faw'!$A$2:$A$26,1))),$C555*'Shultis Faw'!$B$2/'Shultis Faw'!$A$2)</f>
        <v>-4.0635519999999994E-2</v>
      </c>
      <c r="L555" s="83">
        <f>_xlfn.IFNA(INDEX('Shultis Faw'!$E$2:$E$26,MATCH($C555,'Shultis Faw'!$A$2:$A$26,1))+($C555-INDEX('Shultis Faw'!$A$2:$A$26,MATCH($C555,'Shultis Faw'!$A$2:$A$26,1)))*(INDEX('Shultis Faw'!$E$2:$E$26,MATCH($C555,'Shultis Faw'!$A$2:$A$26,1)+1)-INDEX('Shultis Faw'!$E$2:$E$26,MATCH($C555,'Shultis Faw'!$A$2:$A$26,1)))/(INDEX('Shultis Faw'!$A$2:$A$26,MATCH($C555,'Shultis Faw'!$A$2:$A$26,1)+1)-INDEX('Shultis Faw'!$A$2:$A$26,MATCH($C555,'Shultis Faw'!$A$2:$A$26,1))),$C555*'Shultis Faw'!$E$2/'Shultis Faw'!$A$2)</f>
        <v>1.6831679999999998E-2</v>
      </c>
      <c r="M555" s="83">
        <f>_xlfn.IFNA(INDEX('Shultis Faw'!$F$2:$F$26,MATCH($C555,'Shultis Faw'!$A$2:$A$26,1))+($C555-INDEX('Shultis Faw'!$A$2:$A$26,MATCH($C555,'Shultis Faw'!$A$2:$A$26,1)))*(INDEX('Shultis Faw'!$F$2:$F$26,MATCH($C555,'Shultis Faw'!$A$2:$A$26,1)+1)-INDEX('Shultis Faw'!$F$2:$F$26,MATCH($C555,'Shultis Faw'!$A$2:$A$26,1)))/(INDEX('Shultis Faw'!$A$2:$A$26,MATCH($C555,'Shultis Faw'!$A$2:$A$26,1)+1)-INDEX('Shultis Faw'!$A$2:$A$26,MATCH($C555,'Shultis Faw'!$A$2:$A$26,1))),$C555*'Shultis Faw'!$F$2/'Shultis Faw'!$A$2)</f>
        <v>14.108736</v>
      </c>
      <c r="N555" s="83">
        <f>J555*(H555*'Externe blootstelling'!$D$23/2)^K555+L555*(TANH(((H555*'Externe blootstelling'!$D$23)/(2*M555))-2)-TANH(-2))/(1-TANH(-2))</f>
        <v>1.1952181791242236</v>
      </c>
      <c r="O555" s="83">
        <f>IF(N555=1,1+(I555-1)*H555*'Externe blootstelling'!$D$23/2,1+(I555-1)*(N555^(H555*'Externe blootstelling'!$D$23/2)-1)/(N555-1))</f>
        <v>1.6209153577953264</v>
      </c>
      <c r="P555" s="67">
        <f>G555*EXP(-H555*'Externe blootstelling'!$D$23/2)*O555</f>
        <v>8.4603035823562465E-4</v>
      </c>
      <c r="Q555" s="68"/>
    </row>
    <row r="556" spans="1:17" x14ac:dyDescent="0.2">
      <c r="A556" s="217"/>
      <c r="B556" s="64" t="s">
        <v>104</v>
      </c>
      <c r="C556" s="66">
        <v>2.0225300000000002</v>
      </c>
      <c r="D556" s="66">
        <f t="shared" si="37"/>
        <v>3.236048E-13</v>
      </c>
      <c r="E556" s="66">
        <v>1.52E-5</v>
      </c>
      <c r="F556" s="66">
        <f>_xlfn.IFNA(INDEX('hp (pSv cm2)'!$B$2:$B$52,MATCH($C556,'hp (pSv cm2)'!$A$2:$A$52,1))+($C556-INDEX('hp (pSv cm2)'!$A$2:$A$52,MATCH($C556,'hp (pSv cm2)'!$A$2:$A$52,1)))*(INDEX('hp (pSv cm2)'!$B$2:$B$52,MATCH($C556,'hp (pSv cm2)'!$A$2:$A$52,1)+1)-INDEX('hp (pSv cm2)'!$B$2:$B$52,MATCH($C556,'hp (pSv cm2)'!$A$2:$A$52,1)))/(INDEX('hp (pSv cm2)'!$A$2:$A$52,MATCH($C556,'hp (pSv cm2)'!$A$2:$A$52,1)+1)-INDEX('hp (pSv cm2)'!$A$2:$A$52,MATCH($C556,'hp (pSv cm2)'!$A$2:$A$52,1))),$C556*'hp (pSv cm2)'!$B$2/'hp (pSv cm2)'!$A$2)</f>
        <v>7.5311431000000004</v>
      </c>
      <c r="G556" s="67">
        <f t="shared" si="39"/>
        <v>1.1447337512E-4</v>
      </c>
      <c r="H556" s="83">
        <f>_xlfn.IFNA(0.997*(INDEX('Mass attenuation coefficients'!$B$2:$B$37,MATCH($C556,'Mass attenuation coefficients'!$A$2:$A$37,1))+($C556-INDEX('Mass attenuation coefficients'!$A$2:$A$37,MATCH($C556,'Mass attenuation coefficients'!$A$2:$A$37,1)))*(INDEX('Mass attenuation coefficients'!$B$2:$B$37,MATCH($C556,'Mass attenuation coefficients'!$A$2:$A$37,1)+1)-INDEX('Mass attenuation coefficients'!$B$2:$B$37,MATCH($C556,'Mass attenuation coefficients'!$A$2:$A$37,1)))/(INDEX('Mass attenuation coefficients'!$A$2:$A$37,MATCH($C556,'Mass attenuation coefficients'!$A$2:$A$37,1)+1)-INDEX('Mass attenuation coefficients'!$A$2:$A$37,MATCH($C556,'Mass attenuation coefficients'!$A$2:$A$37,1)))),0.997*$C556*'Mass attenuation coefficients'!$B$2/'Mass attenuation coefficients'!$A$2)</f>
        <v>4.9053180750699997E-2</v>
      </c>
      <c r="I556" s="83">
        <f>_xlfn.IFNA(INDEX('Shultis Faw'!$C$2:$C$26,MATCH($C556,'Shultis Faw'!$A$2:$A$26,1))+($C556-INDEX('Shultis Faw'!$A$2:$A$26,MATCH($C556,'Shultis Faw'!$A$2:$A$26,1)))*(INDEX('Shultis Faw'!$C$2:$C$26,MATCH($C556,'Shultis Faw'!$A$2:$A$26,1)+1)-INDEX('Shultis Faw'!$C$2:$C$26,MATCH($C556,'Shultis Faw'!$A$2:$A$26,1)))/(INDEX('Shultis Faw'!$A$2:$A$26,MATCH($C556,'Shultis Faw'!$A$2:$A$26,1)+1)-INDEX('Shultis Faw'!$A$2:$A$26,MATCH($C556,'Shultis Faw'!$A$2:$A$26,1))),$C556*'Shultis Faw'!$C$2/'Shultis Faw'!$A$2)</f>
        <v>1.8360936299999999</v>
      </c>
      <c r="J556" s="83">
        <f>_xlfn.IFNA(INDEX('Shultis Faw'!$D$2:$D$26,MATCH($C556,'Shultis Faw'!$A$2:$A$26,1))+($C556-INDEX('Shultis Faw'!$A$2:$A$26,MATCH($C556,'Shultis Faw'!$A$2:$A$26,1)))*(INDEX('Shultis Faw'!$D$2:$D$26,MATCH($C556,'Shultis Faw'!$A$2:$A$26,1)+1)-INDEX('Shultis Faw'!$D$2:$D$26,MATCH($C556,'Shultis Faw'!$A$2:$A$26,1)))/(INDEX('Shultis Faw'!$A$2:$A$26,MATCH($C556,'Shultis Faw'!$A$2:$A$26,1)+1)-INDEX('Shultis Faw'!$A$2:$A$26,MATCH($C556,'Shultis Faw'!$A$2:$A$26,1))),$C556*'Shultis Faw'!$D$2/'Shultis Faw'!$A$2)</f>
        <v>1.17036399</v>
      </c>
      <c r="K556" s="83">
        <f>_xlfn.IFNA(INDEX('Shultis Faw'!$B$2:$B$26,MATCH($C556,'Shultis Faw'!$A$2:$A$26,1))+($C556-INDEX('Shultis Faw'!$A$2:$A$26,MATCH($C556,'Shultis Faw'!$A$2:$A$26,1)))*(INDEX('Shultis Faw'!$B$2:$B$26,MATCH($C556,'Shultis Faw'!$A$2:$A$26,1)+1)-INDEX('Shultis Faw'!$B$2:$B$26,MATCH($C556,'Shultis Faw'!$A$2:$A$26,1)))/(INDEX('Shultis Faw'!$A$2:$A$26,MATCH($C556,'Shultis Faw'!$A$2:$A$26,1)+1)-INDEX('Shultis Faw'!$A$2:$A$26,MATCH($C556,'Shultis Faw'!$A$2:$A$26,1))),$C556*'Shultis Faw'!$B$2/'Shultis Faw'!$A$2)</f>
        <v>-3.8414219999999999E-2</v>
      </c>
      <c r="L556" s="83">
        <f>_xlfn.IFNA(INDEX('Shultis Faw'!$E$2:$E$26,MATCH($C556,'Shultis Faw'!$A$2:$A$26,1))+($C556-INDEX('Shultis Faw'!$A$2:$A$26,MATCH($C556,'Shultis Faw'!$A$2:$A$26,1)))*(INDEX('Shultis Faw'!$E$2:$E$26,MATCH($C556,'Shultis Faw'!$A$2:$A$26,1)+1)-INDEX('Shultis Faw'!$E$2:$E$26,MATCH($C556,'Shultis Faw'!$A$2:$A$26,1)))/(INDEX('Shultis Faw'!$A$2:$A$26,MATCH($C556,'Shultis Faw'!$A$2:$A$26,1)+1)-INDEX('Shultis Faw'!$A$2:$A$26,MATCH($C556,'Shultis Faw'!$A$2:$A$26,1))),$C556*'Shultis Faw'!$E$2/'Shultis Faw'!$A$2)</f>
        <v>1.5843158E-2</v>
      </c>
      <c r="M556" s="83">
        <f>_xlfn.IFNA(INDEX('Shultis Faw'!$F$2:$F$26,MATCH($C556,'Shultis Faw'!$A$2:$A$26,1))+($C556-INDEX('Shultis Faw'!$A$2:$A$26,MATCH($C556,'Shultis Faw'!$A$2:$A$26,1)))*(INDEX('Shultis Faw'!$F$2:$F$26,MATCH($C556,'Shultis Faw'!$A$2:$A$26,1)+1)-INDEX('Shultis Faw'!$F$2:$F$26,MATCH($C556,'Shultis Faw'!$A$2:$A$26,1)))/(INDEX('Shultis Faw'!$A$2:$A$26,MATCH($C556,'Shultis Faw'!$A$2:$A$26,1)+1)-INDEX('Shultis Faw'!$A$2:$A$26,MATCH($C556,'Shultis Faw'!$A$2:$A$26,1))),$C556*'Shultis Faw'!$F$2/'Shultis Faw'!$A$2)</f>
        <v>14.0193075</v>
      </c>
      <c r="N556" s="83">
        <f>J556*(H556*'Externe blootstelling'!$D$23/2)^K556+L556*(TANH(((H556*'Externe blootstelling'!$D$23)/(2*M556))-2)-TANH(-2))/(1-TANH(-2))</f>
        <v>1.1842703728207056</v>
      </c>
      <c r="O556" s="83">
        <f>IF(N556=1,1+(I556-1)*H556*'Externe blootstelling'!$D$23/2,1+(I556-1)*(N556^(H556*'Externe blootstelling'!$D$23/2)-1)/(N556-1))</f>
        <v>1.6012749580930477</v>
      </c>
      <c r="P556" s="67">
        <f>G556*EXP(-H556*'Externe blootstelling'!$D$23/2)*O556</f>
        <v>8.7824869630699013E-5</v>
      </c>
      <c r="Q556" s="68"/>
    </row>
    <row r="557" spans="1:17" x14ac:dyDescent="0.2">
      <c r="A557" s="218"/>
      <c r="B557" s="64"/>
      <c r="C557" s="66"/>
      <c r="D557" s="66"/>
      <c r="E557" s="66"/>
      <c r="F557" s="66"/>
      <c r="G557" s="67"/>
      <c r="H557" s="83"/>
      <c r="I557" s="83"/>
      <c r="J557" s="83"/>
      <c r="K557" s="83"/>
      <c r="L557" s="83"/>
      <c r="M557" s="83"/>
      <c r="N557" s="83"/>
      <c r="O557" s="83"/>
      <c r="P557" s="67"/>
      <c r="Q557" s="67">
        <f>SUM(P500:P556)/SUM(G500:G556)</f>
        <v>0.97006175374593806</v>
      </c>
    </row>
    <row r="558" spans="1:17" s="62" customFormat="1" x14ac:dyDescent="0.2">
      <c r="A558" s="69"/>
      <c r="B558" s="70"/>
      <c r="C558" s="71"/>
      <c r="D558" s="71"/>
      <c r="E558" s="71"/>
      <c r="F558" s="71"/>
      <c r="G558" s="72"/>
      <c r="H558" s="84"/>
      <c r="I558" s="84"/>
      <c r="J558" s="84"/>
      <c r="K558" s="84"/>
      <c r="L558" s="84"/>
      <c r="M558" s="84"/>
      <c r="N558" s="84"/>
      <c r="O558" s="84"/>
      <c r="P558" s="72"/>
      <c r="Q558" s="72"/>
    </row>
    <row r="559" spans="1:17" x14ac:dyDescent="0.2">
      <c r="A559" s="216" t="s">
        <v>151</v>
      </c>
      <c r="B559" s="64" t="s">
        <v>104</v>
      </c>
      <c r="C559" s="66">
        <v>4.47E-3</v>
      </c>
      <c r="D559" s="66">
        <f t="shared" ref="D559:D622" si="40">C559*1000000*1.6E-19</f>
        <v>7.1519999999999997E-16</v>
      </c>
      <c r="E559" s="66">
        <v>6.3999999999999991E-8</v>
      </c>
      <c r="F559" s="66">
        <f>_xlfn.IFNA(INDEX('hp (pSv cm2)'!$B$2:$B$52,MATCH($C559,'hp (pSv cm2)'!$A$2:$A$52,1))+($C559-INDEX('hp (pSv cm2)'!$A$2:$A$52,MATCH($C559,'hp (pSv cm2)'!$A$2:$A$52,1)))*(INDEX('hp (pSv cm2)'!$B$2:$B$52,MATCH($C559,'hp (pSv cm2)'!$A$2:$A$52,1)+1)-INDEX('hp (pSv cm2)'!$B$2:$B$52,MATCH($C559,'hp (pSv cm2)'!$A$2:$A$52,1)))/(INDEX('hp (pSv cm2)'!$A$2:$A$52,MATCH($C559,'hp (pSv cm2)'!$A$2:$A$52,1)+1)-INDEX('hp (pSv cm2)'!$A$2:$A$52,MATCH($C559,'hp (pSv cm2)'!$A$2:$A$52,1))),$C559*'hp (pSv cm2)'!$B$2/'hp (pSv cm2)'!$A$2)</f>
        <v>1.19796E-2</v>
      </c>
      <c r="G559" s="67">
        <f t="shared" ref="G559:G590" si="41">F559*E559</f>
        <v>7.6669439999999992E-10</v>
      </c>
      <c r="H559" s="83">
        <f>_xlfn.IFNA(0.997*(INDEX('Mass attenuation coefficients'!$B$2:$B$37,MATCH($C559,'Mass attenuation coefficients'!$A$2:$A$37,1))+($C559-INDEX('Mass attenuation coefficients'!$A$2:$A$37,MATCH($C559,'Mass attenuation coefficients'!$A$2:$A$37,1)))*(INDEX('Mass attenuation coefficients'!$B$2:$B$37,MATCH($C559,'Mass attenuation coefficients'!$A$2:$A$37,1)+1)-INDEX('Mass attenuation coefficients'!$B$2:$B$37,MATCH($C559,'Mass attenuation coefficients'!$A$2:$A$37,1)))/(INDEX('Mass attenuation coefficients'!$A$2:$A$37,MATCH($C559,'Mass attenuation coefficients'!$A$2:$A$37,1)+1)-INDEX('Mass attenuation coefficients'!$A$2:$A$37,MATCH($C559,'Mass attenuation coefficients'!$A$2:$A$37,1)))),0.997*$C559*'Mass attenuation coefficients'!$B$2/'Mass attenuation coefficients'!$A$2)</f>
        <v>63.694342000000006</v>
      </c>
      <c r="I559" s="83">
        <f>_xlfn.IFNA(INDEX('Shultis Faw'!$C$2:$C$26,MATCH($C559,'Shultis Faw'!$A$2:$A$26,1))+($C559-INDEX('Shultis Faw'!$A$2:$A$26,MATCH($C559,'Shultis Faw'!$A$2:$A$26,1)))*(INDEX('Shultis Faw'!$C$2:$C$26,MATCH($C559,'Shultis Faw'!$A$2:$A$26,1)+1)-INDEX('Shultis Faw'!$C$2:$C$26,MATCH($C559,'Shultis Faw'!$A$2:$A$26,1)))/(INDEX('Shultis Faw'!$A$2:$A$26,MATCH($C559,'Shultis Faw'!$A$2:$A$26,1)+1)-INDEX('Shultis Faw'!$A$2:$A$26,MATCH($C559,'Shultis Faw'!$A$2:$A$26,1))),$C559*'Shultis Faw'!$C$2/'Shultis Faw'!$A$2)</f>
        <v>0.35223599999999999</v>
      </c>
      <c r="J559" s="83">
        <f>_xlfn.IFNA(INDEX('Shultis Faw'!$D$2:$D$26,MATCH($C559,'Shultis Faw'!$A$2:$A$26,1))+($C559-INDEX('Shultis Faw'!$A$2:$A$26,MATCH($C559,'Shultis Faw'!$A$2:$A$26,1)))*(INDEX('Shultis Faw'!$D$2:$D$26,MATCH($C559,'Shultis Faw'!$A$2:$A$26,1)+1)-INDEX('Shultis Faw'!$D$2:$D$26,MATCH($C559,'Shultis Faw'!$A$2:$A$26,1)))/(INDEX('Shultis Faw'!$A$2:$A$26,MATCH($C559,'Shultis Faw'!$A$2:$A$26,1)+1)-INDEX('Shultis Faw'!$A$2:$A$26,MATCH($C559,'Shultis Faw'!$A$2:$A$26,1))),$C559*'Shultis Faw'!$D$2/'Shultis Faw'!$A$2)</f>
        <v>0.13797400000000001</v>
      </c>
      <c r="K559" s="83">
        <f>_xlfn.IFNA(INDEX('Shultis Faw'!$B$2:$B$26,MATCH($C559,'Shultis Faw'!$A$2:$A$26,1))+($C559-INDEX('Shultis Faw'!$A$2:$A$26,MATCH($C559,'Shultis Faw'!$A$2:$A$26,1)))*(INDEX('Shultis Faw'!$B$2:$B$26,MATCH($C559,'Shultis Faw'!$A$2:$A$26,1)+1)-INDEX('Shultis Faw'!$B$2:$B$26,MATCH($C559,'Shultis Faw'!$A$2:$A$26,1)))/(INDEX('Shultis Faw'!$A$2:$A$26,MATCH($C559,'Shultis Faw'!$A$2:$A$26,1)+1)-INDEX('Shultis Faw'!$A$2:$A$26,MATCH($C559,'Shultis Faw'!$A$2:$A$26,1))),$C559*'Shultis Faw'!$B$2/'Shultis Faw'!$A$2)</f>
        <v>5.1255999999999996E-2</v>
      </c>
      <c r="L559" s="83">
        <f>_xlfn.IFNA(INDEX('Shultis Faw'!$E$2:$E$26,MATCH($C559,'Shultis Faw'!$A$2:$A$26,1))+($C559-INDEX('Shultis Faw'!$A$2:$A$26,MATCH($C559,'Shultis Faw'!$A$2:$A$26,1)))*(INDEX('Shultis Faw'!$E$2:$E$26,MATCH($C559,'Shultis Faw'!$A$2:$A$26,1)+1)-INDEX('Shultis Faw'!$E$2:$E$26,MATCH($C559,'Shultis Faw'!$A$2:$A$26,1)))/(INDEX('Shultis Faw'!$A$2:$A$26,MATCH($C559,'Shultis Faw'!$A$2:$A$26,1)+1)-INDEX('Shultis Faw'!$A$2:$A$26,MATCH($C559,'Shultis Faw'!$A$2:$A$26,1))),$C559*'Shultis Faw'!$E$2/'Shultis Faw'!$A$2)</f>
        <v>-2.70584E-2</v>
      </c>
      <c r="M559" s="83">
        <f>_xlfn.IFNA(INDEX('Shultis Faw'!$F$2:$F$26,MATCH($C559,'Shultis Faw'!$A$2:$A$26,1))+($C559-INDEX('Shultis Faw'!$A$2:$A$26,MATCH($C559,'Shultis Faw'!$A$2:$A$26,1)))*(INDEX('Shultis Faw'!$F$2:$F$26,MATCH($C559,'Shultis Faw'!$A$2:$A$26,1)+1)-INDEX('Shultis Faw'!$F$2:$F$26,MATCH($C559,'Shultis Faw'!$A$2:$A$26,1)))/(INDEX('Shultis Faw'!$A$2:$A$26,MATCH($C559,'Shultis Faw'!$A$2:$A$26,1)+1)-INDEX('Shultis Faw'!$A$2:$A$26,MATCH($C559,'Shultis Faw'!$A$2:$A$26,1))),$C559*'Shultis Faw'!$F$2/'Shultis Faw'!$A$2)</f>
        <v>4.2405400000000002</v>
      </c>
      <c r="N559" s="83">
        <f>J559*(H559*'Externe blootstelling'!$D$23/2)^K559+L559*(TANH(((H559*'Externe blootstelling'!$D$23)/(2*M559))-2)-TANH(-2))/(1-TANH(-2))</f>
        <v>0.16907428878217096</v>
      </c>
      <c r="O559" s="83">
        <f>IF(N559=1,1+(I559-1)*H559*'Externe blootstelling'!$D$23/2,1+(I559-1)*(N559^(H559*'Externe blootstelling'!$D$23/2)-1)/(N559-1))</f>
        <v>0.22043091066394105</v>
      </c>
      <c r="P559" s="67">
        <f>G559*EXP(-H559*'Externe blootstelling'!$D$23/2)*O559</f>
        <v>0</v>
      </c>
      <c r="Q559" s="68"/>
    </row>
    <row r="560" spans="1:17" x14ac:dyDescent="0.2">
      <c r="A560" s="217"/>
      <c r="B560" s="64" t="s">
        <v>104</v>
      </c>
      <c r="C560" s="66">
        <v>9.9000000000000008E-3</v>
      </c>
      <c r="D560" s="66">
        <f t="shared" si="40"/>
        <v>1.5839999999999999E-15</v>
      </c>
      <c r="E560" s="66">
        <v>1.5800000000000002E-4</v>
      </c>
      <c r="F560" s="66">
        <f>_xlfn.IFNA(INDEX('hp (pSv cm2)'!$B$2:$B$52,MATCH($C560,'hp (pSv cm2)'!$A$2:$A$52,1))+($C560-INDEX('hp (pSv cm2)'!$A$2:$A$52,MATCH($C560,'hp (pSv cm2)'!$A$2:$A$52,1)))*(INDEX('hp (pSv cm2)'!$B$2:$B$52,MATCH($C560,'hp (pSv cm2)'!$A$2:$A$52,1)+1)-INDEX('hp (pSv cm2)'!$B$2:$B$52,MATCH($C560,'hp (pSv cm2)'!$A$2:$A$52,1)))/(INDEX('hp (pSv cm2)'!$A$2:$A$52,MATCH($C560,'hp (pSv cm2)'!$A$2:$A$52,1)+1)-INDEX('hp (pSv cm2)'!$A$2:$A$52,MATCH($C560,'hp (pSv cm2)'!$A$2:$A$52,1))),$C560*'hp (pSv cm2)'!$B$2/'hp (pSv cm2)'!$A$2)</f>
        <v>6.6550000000000026E-2</v>
      </c>
      <c r="G560" s="67">
        <f t="shared" si="41"/>
        <v>1.0514900000000005E-5</v>
      </c>
      <c r="H560" s="83">
        <f>_xlfn.IFNA(0.997*(INDEX('Mass attenuation coefficients'!$B$2:$B$37,MATCH($C560,'Mass attenuation coefficients'!$A$2:$A$37,1))+($C560-INDEX('Mass attenuation coefficients'!$A$2:$A$37,MATCH($C560,'Mass attenuation coefficients'!$A$2:$A$37,1)))*(INDEX('Mass attenuation coefficients'!$B$2:$B$37,MATCH($C560,'Mass attenuation coefficients'!$A$2:$A$37,1)+1)-INDEX('Mass attenuation coefficients'!$B$2:$B$37,MATCH($C560,'Mass attenuation coefficients'!$A$2:$A$37,1)))/(INDEX('Mass attenuation coefficients'!$A$2:$A$37,MATCH($C560,'Mass attenuation coefficients'!$A$2:$A$37,1)+1)-INDEX('Mass attenuation coefficients'!$A$2:$A$37,MATCH($C560,'Mass attenuation coefficients'!$A$2:$A$37,1)))),0.997*$C560*'Mass attenuation coefficients'!$B$2/'Mass attenuation coefficients'!$A$2)</f>
        <v>5.5643068499999986</v>
      </c>
      <c r="I560" s="83">
        <f>_xlfn.IFNA(INDEX('Shultis Faw'!$C$2:$C$26,MATCH($C560,'Shultis Faw'!$A$2:$A$26,1))+($C560-INDEX('Shultis Faw'!$A$2:$A$26,MATCH($C560,'Shultis Faw'!$A$2:$A$26,1)))*(INDEX('Shultis Faw'!$C$2:$C$26,MATCH($C560,'Shultis Faw'!$A$2:$A$26,1)+1)-INDEX('Shultis Faw'!$C$2:$C$26,MATCH($C560,'Shultis Faw'!$A$2:$A$26,1)))/(INDEX('Shultis Faw'!$A$2:$A$26,MATCH($C560,'Shultis Faw'!$A$2:$A$26,1)+1)-INDEX('Shultis Faw'!$A$2:$A$26,MATCH($C560,'Shultis Faw'!$A$2:$A$26,1))),$C560*'Shultis Faw'!$C$2/'Shultis Faw'!$A$2)</f>
        <v>0.78012000000000004</v>
      </c>
      <c r="J560" s="83">
        <f>_xlfn.IFNA(INDEX('Shultis Faw'!$D$2:$D$26,MATCH($C560,'Shultis Faw'!$A$2:$A$26,1))+($C560-INDEX('Shultis Faw'!$A$2:$A$26,MATCH($C560,'Shultis Faw'!$A$2:$A$26,1)))*(INDEX('Shultis Faw'!$D$2:$D$26,MATCH($C560,'Shultis Faw'!$A$2:$A$26,1)+1)-INDEX('Shultis Faw'!$D$2:$D$26,MATCH($C560,'Shultis Faw'!$A$2:$A$26,1)))/(INDEX('Shultis Faw'!$A$2:$A$26,MATCH($C560,'Shultis Faw'!$A$2:$A$26,1)+1)-INDEX('Shultis Faw'!$A$2:$A$26,MATCH($C560,'Shultis Faw'!$A$2:$A$26,1))),$C560*'Shultis Faw'!$D$2/'Shultis Faw'!$A$2)</f>
        <v>0.30558000000000002</v>
      </c>
      <c r="K560" s="83">
        <f>_xlfn.IFNA(INDEX('Shultis Faw'!$B$2:$B$26,MATCH($C560,'Shultis Faw'!$A$2:$A$26,1))+($C560-INDEX('Shultis Faw'!$A$2:$A$26,MATCH($C560,'Shultis Faw'!$A$2:$A$26,1)))*(INDEX('Shultis Faw'!$B$2:$B$26,MATCH($C560,'Shultis Faw'!$A$2:$A$26,1)+1)-INDEX('Shultis Faw'!$B$2:$B$26,MATCH($C560,'Shultis Faw'!$A$2:$A$26,1)))/(INDEX('Shultis Faw'!$A$2:$A$26,MATCH($C560,'Shultis Faw'!$A$2:$A$26,1)+1)-INDEX('Shultis Faw'!$A$2:$A$26,MATCH($C560,'Shultis Faw'!$A$2:$A$26,1))),$C560*'Shultis Faw'!$B$2/'Shultis Faw'!$A$2)</f>
        <v>0.11352</v>
      </c>
      <c r="L560" s="83">
        <f>_xlfn.IFNA(INDEX('Shultis Faw'!$E$2:$E$26,MATCH($C560,'Shultis Faw'!$A$2:$A$26,1))+($C560-INDEX('Shultis Faw'!$A$2:$A$26,MATCH($C560,'Shultis Faw'!$A$2:$A$26,1)))*(INDEX('Shultis Faw'!$E$2:$E$26,MATCH($C560,'Shultis Faw'!$A$2:$A$26,1)+1)-INDEX('Shultis Faw'!$E$2:$E$26,MATCH($C560,'Shultis Faw'!$A$2:$A$26,1)))/(INDEX('Shultis Faw'!$A$2:$A$26,MATCH($C560,'Shultis Faw'!$A$2:$A$26,1)+1)-INDEX('Shultis Faw'!$A$2:$A$26,MATCH($C560,'Shultis Faw'!$A$2:$A$26,1))),$C560*'Shultis Faw'!$E$2/'Shultis Faw'!$A$2)</f>
        <v>-5.9928000000000009E-2</v>
      </c>
      <c r="M560" s="83">
        <f>_xlfn.IFNA(INDEX('Shultis Faw'!$F$2:$F$26,MATCH($C560,'Shultis Faw'!$A$2:$A$26,1))+($C560-INDEX('Shultis Faw'!$A$2:$A$26,MATCH($C560,'Shultis Faw'!$A$2:$A$26,1)))*(INDEX('Shultis Faw'!$F$2:$F$26,MATCH($C560,'Shultis Faw'!$A$2:$A$26,1)+1)-INDEX('Shultis Faw'!$F$2:$F$26,MATCH($C560,'Shultis Faw'!$A$2:$A$26,1)))/(INDEX('Shultis Faw'!$A$2:$A$26,MATCH($C560,'Shultis Faw'!$A$2:$A$26,1)+1)-INDEX('Shultis Faw'!$A$2:$A$26,MATCH($C560,'Shultis Faw'!$A$2:$A$26,1))),$C560*'Shultis Faw'!$F$2/'Shultis Faw'!$A$2)</f>
        <v>9.3917999999999999</v>
      </c>
      <c r="N560" s="83">
        <f>J560*(H560*'Externe blootstelling'!$D$23/2)^K560+L560*(TANH(((H560*'Externe blootstelling'!$D$23)/(2*M560))-2)-TANH(-2))/(1-TANH(-2))</f>
        <v>0.44502845218029186</v>
      </c>
      <c r="O560" s="83">
        <f>IF(N560=1,1+(I560-1)*H560*'Externe blootstelling'!$D$23/2,1+(I560-1)*(N560^(H560*'Externe blootstelling'!$D$23/2)-1)/(N560-1))</f>
        <v>0.60379950852645936</v>
      </c>
      <c r="P560" s="67">
        <f>G560*EXP(-H560*'Externe blootstelling'!$D$23/2)*O560</f>
        <v>3.5849367143487404E-42</v>
      </c>
      <c r="Q560" s="68"/>
    </row>
    <row r="561" spans="1:17" x14ac:dyDescent="0.2">
      <c r="A561" s="217"/>
      <c r="B561" s="64" t="s">
        <v>102</v>
      </c>
      <c r="C561" s="66">
        <v>1.36975E-2</v>
      </c>
      <c r="D561" s="66">
        <f t="shared" si="40"/>
        <v>2.1916E-15</v>
      </c>
      <c r="E561" s="66">
        <v>0.221</v>
      </c>
      <c r="F561" s="66">
        <f>_xlfn.IFNA(INDEX('hp (pSv cm2)'!$B$2:$B$52,MATCH($C561,'hp (pSv cm2)'!$A$2:$A$52,1))+($C561-INDEX('hp (pSv cm2)'!$A$2:$A$52,MATCH($C561,'hp (pSv cm2)'!$A$2:$A$52,1)))*(INDEX('hp (pSv cm2)'!$B$2:$B$52,MATCH($C561,'hp (pSv cm2)'!$A$2:$A$52,1)+1)-INDEX('hp (pSv cm2)'!$B$2:$B$52,MATCH($C561,'hp (pSv cm2)'!$A$2:$A$52,1)))/(INDEX('hp (pSv cm2)'!$A$2:$A$52,MATCH($C561,'hp (pSv cm2)'!$A$2:$A$52,1)+1)-INDEX('hp (pSv cm2)'!$A$2:$A$52,MATCH($C561,'hp (pSv cm2)'!$A$2:$A$52,1))),$C561*'hp (pSv cm2)'!$B$2/'hp (pSv cm2)'!$A$2)</f>
        <v>0.13385749999999999</v>
      </c>
      <c r="G561" s="67">
        <f t="shared" si="41"/>
        <v>2.9582507499999997E-2</v>
      </c>
      <c r="H561" s="83">
        <f>_xlfn.IFNA(0.997*(INDEX('Mass attenuation coefficients'!$B$2:$B$37,MATCH($C561,'Mass attenuation coefficients'!$A$2:$A$37,1))+($C561-INDEX('Mass attenuation coefficients'!$A$2:$A$37,MATCH($C561,'Mass attenuation coefficients'!$A$2:$A$37,1)))*(INDEX('Mass attenuation coefficients'!$B$2:$B$37,MATCH($C561,'Mass attenuation coefficients'!$A$2:$A$37,1)+1)-INDEX('Mass attenuation coefficients'!$B$2:$B$37,MATCH($C561,'Mass attenuation coefficients'!$A$2:$A$37,1)))/(INDEX('Mass attenuation coefficients'!$A$2:$A$37,MATCH($C561,'Mass attenuation coefficients'!$A$2:$A$37,1)+1)-INDEX('Mass attenuation coefficients'!$A$2:$A$37,MATCH($C561,'Mass attenuation coefficients'!$A$2:$A$37,1)))),0.997*$C561*'Mass attenuation coefficients'!$B$2/'Mass attenuation coefficients'!$A$2)</f>
        <v>2.6175118360000003</v>
      </c>
      <c r="I561" s="83">
        <f>_xlfn.IFNA(INDEX('Shultis Faw'!$C$2:$C$26,MATCH($C561,'Shultis Faw'!$A$2:$A$26,1))+($C561-INDEX('Shultis Faw'!$A$2:$A$26,MATCH($C561,'Shultis Faw'!$A$2:$A$26,1)))*(INDEX('Shultis Faw'!$C$2:$C$26,MATCH($C561,'Shultis Faw'!$A$2:$A$26,1)+1)-INDEX('Shultis Faw'!$C$2:$C$26,MATCH($C561,'Shultis Faw'!$A$2:$A$26,1)))/(INDEX('Shultis Faw'!$A$2:$A$26,MATCH($C561,'Shultis Faw'!$A$2:$A$26,1)+1)-INDEX('Shultis Faw'!$A$2:$A$26,MATCH($C561,'Shultis Faw'!$A$2:$A$26,1))),$C561*'Shultis Faw'!$C$2/'Shultis Faw'!$A$2)</f>
        <v>1.0793629999999999</v>
      </c>
      <c r="J561" s="83">
        <f>_xlfn.IFNA(INDEX('Shultis Faw'!$D$2:$D$26,MATCH($C561,'Shultis Faw'!$A$2:$A$26,1))+($C561-INDEX('Shultis Faw'!$A$2:$A$26,MATCH($C561,'Shultis Faw'!$A$2:$A$26,1)))*(INDEX('Shultis Faw'!$D$2:$D$26,MATCH($C561,'Shultis Faw'!$A$2:$A$26,1)+1)-INDEX('Shultis Faw'!$D$2:$D$26,MATCH($C561,'Shultis Faw'!$A$2:$A$26,1)))/(INDEX('Shultis Faw'!$A$2:$A$26,MATCH($C561,'Shultis Faw'!$A$2:$A$26,1)+1)-INDEX('Shultis Faw'!$A$2:$A$26,MATCH($C561,'Shultis Faw'!$A$2:$A$26,1))),$C561*'Shultis Faw'!$D$2/'Shultis Faw'!$A$2)</f>
        <v>0.4227961666666667</v>
      </c>
      <c r="K561" s="83">
        <f>_xlfn.IFNA(INDEX('Shultis Faw'!$B$2:$B$26,MATCH($C561,'Shultis Faw'!$A$2:$A$26,1))+($C561-INDEX('Shultis Faw'!$A$2:$A$26,MATCH($C561,'Shultis Faw'!$A$2:$A$26,1)))*(INDEX('Shultis Faw'!$B$2:$B$26,MATCH($C561,'Shultis Faw'!$A$2:$A$26,1)+1)-INDEX('Shultis Faw'!$B$2:$B$26,MATCH($C561,'Shultis Faw'!$A$2:$A$26,1)))/(INDEX('Shultis Faw'!$A$2:$A$26,MATCH($C561,'Shultis Faw'!$A$2:$A$26,1)+1)-INDEX('Shultis Faw'!$A$2:$A$26,MATCH($C561,'Shultis Faw'!$A$2:$A$26,1))),$C561*'Shultis Faw'!$B$2/'Shultis Faw'!$A$2)</f>
        <v>0.15706466666666666</v>
      </c>
      <c r="L561" s="83">
        <f>_xlfn.IFNA(INDEX('Shultis Faw'!$E$2:$E$26,MATCH($C561,'Shultis Faw'!$A$2:$A$26,1))+($C561-INDEX('Shultis Faw'!$A$2:$A$26,MATCH($C561,'Shultis Faw'!$A$2:$A$26,1)))*(INDEX('Shultis Faw'!$E$2:$E$26,MATCH($C561,'Shultis Faw'!$A$2:$A$26,1)+1)-INDEX('Shultis Faw'!$E$2:$E$26,MATCH($C561,'Shultis Faw'!$A$2:$A$26,1)))/(INDEX('Shultis Faw'!$A$2:$A$26,MATCH($C561,'Shultis Faw'!$A$2:$A$26,1)+1)-INDEX('Shultis Faw'!$A$2:$A$26,MATCH($C561,'Shultis Faw'!$A$2:$A$26,1))),$C561*'Shultis Faw'!$E$2/'Shultis Faw'!$A$2)</f>
        <v>-8.2915533333333347E-2</v>
      </c>
      <c r="M561" s="83">
        <f>_xlfn.IFNA(INDEX('Shultis Faw'!$F$2:$F$26,MATCH($C561,'Shultis Faw'!$A$2:$A$26,1))+($C561-INDEX('Shultis Faw'!$A$2:$A$26,MATCH($C561,'Shultis Faw'!$A$2:$A$26,1)))*(INDEX('Shultis Faw'!$F$2:$F$26,MATCH($C561,'Shultis Faw'!$A$2:$A$26,1)+1)-INDEX('Shultis Faw'!$F$2:$F$26,MATCH($C561,'Shultis Faw'!$A$2:$A$26,1)))/(INDEX('Shultis Faw'!$A$2:$A$26,MATCH($C561,'Shultis Faw'!$A$2:$A$26,1)+1)-INDEX('Shultis Faw'!$A$2:$A$26,MATCH($C561,'Shultis Faw'!$A$2:$A$26,1))),$C561*'Shultis Faw'!$F$2/'Shultis Faw'!$A$2)</f>
        <v>12.994361666666668</v>
      </c>
      <c r="N561" s="83">
        <f>J561*(H561*'Externe blootstelling'!$D$23/2)^K561+L561*(TANH(((H561*'Externe blootstelling'!$D$23)/(2*M561))-2)-TANH(-2))/(1-TANH(-2))</f>
        <v>0.67924359708791515</v>
      </c>
      <c r="O561" s="83">
        <f>IF(N561=1,1+(I561-1)*H561*'Externe blootstelling'!$D$23/2,1+(I561-1)*(N561^(H561*'Externe blootstelling'!$D$23/2)-1)/(N561-1))</f>
        <v>1.2474244601804734</v>
      </c>
      <c r="P561" s="67">
        <f>G561*EXP(-H561*'Externe blootstelling'!$D$23/2)*O561</f>
        <v>3.2770648716145185E-19</v>
      </c>
      <c r="Q561" s="68"/>
    </row>
    <row r="562" spans="1:17" x14ac:dyDescent="0.2">
      <c r="A562" s="217"/>
      <c r="B562" s="64" t="s">
        <v>104</v>
      </c>
      <c r="C562" s="66">
        <v>1.4369999999999999E-2</v>
      </c>
      <c r="D562" s="66">
        <f t="shared" si="40"/>
        <v>2.2992E-15</v>
      </c>
      <c r="E562" s="66">
        <v>1.85E-4</v>
      </c>
      <c r="F562" s="66">
        <f>_xlfn.IFNA(INDEX('hp (pSv cm2)'!$B$2:$B$52,MATCH($C562,'hp (pSv cm2)'!$A$2:$A$52,1))+($C562-INDEX('hp (pSv cm2)'!$A$2:$A$52,MATCH($C562,'hp (pSv cm2)'!$A$2:$A$52,1)))*(INDEX('hp (pSv cm2)'!$B$2:$B$52,MATCH($C562,'hp (pSv cm2)'!$A$2:$A$52,1)+1)-INDEX('hp (pSv cm2)'!$B$2:$B$52,MATCH($C562,'hp (pSv cm2)'!$A$2:$A$52,1)))/(INDEX('hp (pSv cm2)'!$A$2:$A$52,MATCH($C562,'hp (pSv cm2)'!$A$2:$A$52,1)+1)-INDEX('hp (pSv cm2)'!$A$2:$A$52,MATCH($C562,'hp (pSv cm2)'!$A$2:$A$52,1))),$C562*'hp (pSv cm2)'!$B$2/'hp (pSv cm2)'!$A$2)</f>
        <v>0.14529</v>
      </c>
      <c r="G562" s="67">
        <f t="shared" si="41"/>
        <v>2.6878650000000001E-5</v>
      </c>
      <c r="H562" s="83">
        <f>_xlfn.IFNA(0.997*(INDEX('Mass attenuation coefficients'!$B$2:$B$37,MATCH($C562,'Mass attenuation coefficients'!$A$2:$A$37,1))+($C562-INDEX('Mass attenuation coefficients'!$A$2:$A$37,MATCH($C562,'Mass attenuation coefficients'!$A$2:$A$37,1)))*(INDEX('Mass attenuation coefficients'!$B$2:$B$37,MATCH($C562,'Mass attenuation coefficients'!$A$2:$A$37,1)+1)-INDEX('Mass attenuation coefficients'!$B$2:$B$37,MATCH($C562,'Mass attenuation coefficients'!$A$2:$A$37,1)))/(INDEX('Mass attenuation coefficients'!$A$2:$A$37,MATCH($C562,'Mass attenuation coefficients'!$A$2:$A$37,1)+1)-INDEX('Mass attenuation coefficients'!$A$2:$A$37,MATCH($C562,'Mass attenuation coefficients'!$A$2:$A$37,1)))),0.997*$C562*'Mass attenuation coefficients'!$B$2/'Mass attenuation coefficients'!$A$2)</f>
        <v>2.1272550320000008</v>
      </c>
      <c r="I562" s="83">
        <f>_xlfn.IFNA(INDEX('Shultis Faw'!$C$2:$C$26,MATCH($C562,'Shultis Faw'!$A$2:$A$26,1))+($C562-INDEX('Shultis Faw'!$A$2:$A$26,MATCH($C562,'Shultis Faw'!$A$2:$A$26,1)))*(INDEX('Shultis Faw'!$C$2:$C$26,MATCH($C562,'Shultis Faw'!$A$2:$A$26,1)+1)-INDEX('Shultis Faw'!$C$2:$C$26,MATCH($C562,'Shultis Faw'!$A$2:$A$26,1)))/(INDEX('Shultis Faw'!$A$2:$A$26,MATCH($C562,'Shultis Faw'!$A$2:$A$26,1)+1)-INDEX('Shultis Faw'!$A$2:$A$26,MATCH($C562,'Shultis Faw'!$A$2:$A$26,1))),$C562*'Shultis Faw'!$C$2/'Shultis Faw'!$A$2)</f>
        <v>1.1323559999999999</v>
      </c>
      <c r="J562" s="83">
        <f>_xlfn.IFNA(INDEX('Shultis Faw'!$D$2:$D$26,MATCH($C562,'Shultis Faw'!$A$2:$A$26,1))+($C562-INDEX('Shultis Faw'!$A$2:$A$26,MATCH($C562,'Shultis Faw'!$A$2:$A$26,1)))*(INDEX('Shultis Faw'!$D$2:$D$26,MATCH($C562,'Shultis Faw'!$A$2:$A$26,1)+1)-INDEX('Shultis Faw'!$D$2:$D$26,MATCH($C562,'Shultis Faw'!$A$2:$A$26,1)))/(INDEX('Shultis Faw'!$A$2:$A$26,MATCH($C562,'Shultis Faw'!$A$2:$A$26,1)+1)-INDEX('Shultis Faw'!$A$2:$A$26,MATCH($C562,'Shultis Faw'!$A$2:$A$26,1))),$C562*'Shultis Faw'!$D$2/'Shultis Faw'!$A$2)</f>
        <v>0.443554</v>
      </c>
      <c r="K562" s="83">
        <f>_xlfn.IFNA(INDEX('Shultis Faw'!$B$2:$B$26,MATCH($C562,'Shultis Faw'!$A$2:$A$26,1))+($C562-INDEX('Shultis Faw'!$A$2:$A$26,MATCH($C562,'Shultis Faw'!$A$2:$A$26,1)))*(INDEX('Shultis Faw'!$B$2:$B$26,MATCH($C562,'Shultis Faw'!$A$2:$A$26,1)+1)-INDEX('Shultis Faw'!$B$2:$B$26,MATCH($C562,'Shultis Faw'!$A$2:$A$26,1)))/(INDEX('Shultis Faw'!$A$2:$A$26,MATCH($C562,'Shultis Faw'!$A$2:$A$26,1)+1)-INDEX('Shultis Faw'!$A$2:$A$26,MATCH($C562,'Shultis Faw'!$A$2:$A$26,1))),$C562*'Shultis Faw'!$B$2/'Shultis Faw'!$A$2)</f>
        <v>0.16477599999999998</v>
      </c>
      <c r="L562" s="83">
        <f>_xlfn.IFNA(INDEX('Shultis Faw'!$E$2:$E$26,MATCH($C562,'Shultis Faw'!$A$2:$A$26,1))+($C562-INDEX('Shultis Faw'!$A$2:$A$26,MATCH($C562,'Shultis Faw'!$A$2:$A$26,1)))*(INDEX('Shultis Faw'!$E$2:$E$26,MATCH($C562,'Shultis Faw'!$A$2:$A$26,1)+1)-INDEX('Shultis Faw'!$E$2:$E$26,MATCH($C562,'Shultis Faw'!$A$2:$A$26,1)))/(INDEX('Shultis Faw'!$A$2:$A$26,MATCH($C562,'Shultis Faw'!$A$2:$A$26,1)+1)-INDEX('Shultis Faw'!$A$2:$A$26,MATCH($C562,'Shultis Faw'!$A$2:$A$26,1))),$C562*'Shultis Faw'!$E$2/'Shultis Faw'!$A$2)</f>
        <v>-8.6986400000000005E-2</v>
      </c>
      <c r="M562" s="83">
        <f>_xlfn.IFNA(INDEX('Shultis Faw'!$F$2:$F$26,MATCH($C562,'Shultis Faw'!$A$2:$A$26,1))+($C562-INDEX('Shultis Faw'!$A$2:$A$26,MATCH($C562,'Shultis Faw'!$A$2:$A$26,1)))*(INDEX('Shultis Faw'!$F$2:$F$26,MATCH($C562,'Shultis Faw'!$A$2:$A$26,1)+1)-INDEX('Shultis Faw'!$F$2:$F$26,MATCH($C562,'Shultis Faw'!$A$2:$A$26,1)))/(INDEX('Shultis Faw'!$A$2:$A$26,MATCH($C562,'Shultis Faw'!$A$2:$A$26,1)+1)-INDEX('Shultis Faw'!$A$2:$A$26,MATCH($C562,'Shultis Faw'!$A$2:$A$26,1))),$C562*'Shultis Faw'!$F$2/'Shultis Faw'!$A$2)</f>
        <v>13.632340000000001</v>
      </c>
      <c r="N562" s="83">
        <f>J562*(H562*'Externe blootstelling'!$D$23/2)^K562+L562*(TANH(((H562*'Externe blootstelling'!$D$23)/(2*M562))-2)-TANH(-2))/(1-TANH(-2))</f>
        <v>0.72756558026205531</v>
      </c>
      <c r="O562" s="83">
        <f>IF(N562=1,1+(I562-1)*H562*'Externe blootstelling'!$D$23/2,1+(I562-1)*(N562^(H562*'Externe blootstelling'!$D$23/2)-1)/(N562-1))</f>
        <v>1.4858080015219248</v>
      </c>
      <c r="P562" s="67">
        <f>G562*EXP(-H562*'Externe blootstelling'!$D$23/2)*O562</f>
        <v>5.5404279947885861E-19</v>
      </c>
      <c r="Q562" s="68"/>
    </row>
    <row r="563" spans="1:17" x14ac:dyDescent="0.2">
      <c r="A563" s="217"/>
      <c r="B563" s="64" t="s">
        <v>104</v>
      </c>
      <c r="C563" s="66">
        <v>3.1870000000000002E-2</v>
      </c>
      <c r="D563" s="66">
        <f t="shared" si="40"/>
        <v>5.0992000000000005E-15</v>
      </c>
      <c r="E563" s="66">
        <v>1.0500000000000001E-6</v>
      </c>
      <c r="F563" s="66">
        <f>_xlfn.IFNA(INDEX('hp (pSv cm2)'!$B$2:$B$52,MATCH($C563,'hp (pSv cm2)'!$A$2:$A$52,1))+($C563-INDEX('hp (pSv cm2)'!$A$2:$A$52,MATCH($C563,'hp (pSv cm2)'!$A$2:$A$52,1)))*(INDEX('hp (pSv cm2)'!$B$2:$B$52,MATCH($C563,'hp (pSv cm2)'!$A$2:$A$52,1)+1)-INDEX('hp (pSv cm2)'!$B$2:$B$52,MATCH($C563,'hp (pSv cm2)'!$A$2:$A$52,1)))/(INDEX('hp (pSv cm2)'!$A$2:$A$52,MATCH($C563,'hp (pSv cm2)'!$A$2:$A$52,1)+1)-INDEX('hp (pSv cm2)'!$A$2:$A$52,MATCH($C563,'hp (pSv cm2)'!$A$2:$A$52,1))),$C563*'hp (pSv cm2)'!$B$2/'hp (pSv cm2)'!$A$2)</f>
        <v>0.319106</v>
      </c>
      <c r="G563" s="67">
        <f t="shared" si="41"/>
        <v>3.3506130000000004E-7</v>
      </c>
      <c r="H563" s="83">
        <f>_xlfn.IFNA(0.997*(INDEX('Mass attenuation coefficients'!$B$2:$B$37,MATCH($C563,'Mass attenuation coefficients'!$A$2:$A$37,1))+($C563-INDEX('Mass attenuation coefficients'!$A$2:$A$37,MATCH($C563,'Mass attenuation coefficients'!$A$2:$A$37,1)))*(INDEX('Mass attenuation coefficients'!$B$2:$B$37,MATCH($C563,'Mass attenuation coefficients'!$A$2:$A$37,1)+1)-INDEX('Mass attenuation coefficients'!$B$2:$B$37,MATCH($C563,'Mass attenuation coefficients'!$A$2:$A$37,1)))/(INDEX('Mass attenuation coefficients'!$A$2:$A$37,MATCH($C563,'Mass attenuation coefficients'!$A$2:$A$37,1)+1)-INDEX('Mass attenuation coefficients'!$A$2:$A$37,MATCH($C563,'Mass attenuation coefficients'!$A$2:$A$37,1)))),0.997*$C563*'Mass attenuation coefficients'!$B$2/'Mass attenuation coefficients'!$A$2)</f>
        <v>0.35446829529999996</v>
      </c>
      <c r="I563" s="83">
        <f>_xlfn.IFNA(INDEX('Shultis Faw'!$C$2:$C$26,MATCH($C563,'Shultis Faw'!$A$2:$A$26,1))+($C563-INDEX('Shultis Faw'!$A$2:$A$26,MATCH($C563,'Shultis Faw'!$A$2:$A$26,1)))*(INDEX('Shultis Faw'!$C$2:$C$26,MATCH($C563,'Shultis Faw'!$A$2:$A$26,1)+1)-INDEX('Shultis Faw'!$C$2:$C$26,MATCH($C563,'Shultis Faw'!$A$2:$A$26,1)))/(INDEX('Shultis Faw'!$A$2:$A$26,MATCH($C563,'Shultis Faw'!$A$2:$A$26,1)+1)-INDEX('Shultis Faw'!$A$2:$A$26,MATCH($C563,'Shultis Faw'!$A$2:$A$26,1))),$C563*'Shultis Faw'!$C$2/'Shultis Faw'!$A$2)</f>
        <v>2.5485540000000002</v>
      </c>
      <c r="J563" s="83">
        <f>_xlfn.IFNA(INDEX('Shultis Faw'!$D$2:$D$26,MATCH($C563,'Shultis Faw'!$A$2:$A$26,1))+($C563-INDEX('Shultis Faw'!$A$2:$A$26,MATCH($C563,'Shultis Faw'!$A$2:$A$26,1)))*(INDEX('Shultis Faw'!$D$2:$D$26,MATCH($C563,'Shultis Faw'!$A$2:$A$26,1)+1)-INDEX('Shultis Faw'!$D$2:$D$26,MATCH($C563,'Shultis Faw'!$A$2:$A$26,1)))/(INDEX('Shultis Faw'!$A$2:$A$26,MATCH($C563,'Shultis Faw'!$A$2:$A$26,1)+1)-INDEX('Shultis Faw'!$A$2:$A$26,MATCH($C563,'Shultis Faw'!$A$2:$A$26,1))),$C563*'Shultis Faw'!$D$2/'Shultis Faw'!$A$2)</f>
        <v>0.80724700000000016</v>
      </c>
      <c r="K563" s="83">
        <f>_xlfn.IFNA(INDEX('Shultis Faw'!$B$2:$B$26,MATCH($C563,'Shultis Faw'!$A$2:$A$26,1))+($C563-INDEX('Shultis Faw'!$A$2:$A$26,MATCH($C563,'Shultis Faw'!$A$2:$A$26,1)))*(INDEX('Shultis Faw'!$B$2:$B$26,MATCH($C563,'Shultis Faw'!$A$2:$A$26,1)+1)-INDEX('Shultis Faw'!$B$2:$B$26,MATCH($C563,'Shultis Faw'!$A$2:$A$26,1)))/(INDEX('Shultis Faw'!$A$2:$A$26,MATCH($C563,'Shultis Faw'!$A$2:$A$26,1)+1)-INDEX('Shultis Faw'!$A$2:$A$26,MATCH($C563,'Shultis Faw'!$A$2:$A$26,1))),$C563*'Shultis Faw'!$B$2/'Shultis Faw'!$A$2)</f>
        <v>6.717799999999996E-2</v>
      </c>
      <c r="L563" s="83">
        <f>_xlfn.IFNA(INDEX('Shultis Faw'!$E$2:$E$26,MATCH($C563,'Shultis Faw'!$A$2:$A$26,1))+($C563-INDEX('Shultis Faw'!$A$2:$A$26,MATCH($C563,'Shultis Faw'!$A$2:$A$26,1)))*(INDEX('Shultis Faw'!$E$2:$E$26,MATCH($C563,'Shultis Faw'!$A$2:$A$26,1)+1)-INDEX('Shultis Faw'!$E$2:$E$26,MATCH($C563,'Shultis Faw'!$A$2:$A$26,1)))/(INDEX('Shultis Faw'!$A$2:$A$26,MATCH($C563,'Shultis Faw'!$A$2:$A$26,1)+1)-INDEX('Shultis Faw'!$A$2:$A$26,MATCH($C563,'Shultis Faw'!$A$2:$A$26,1))),$C563*'Shultis Faw'!$E$2/'Shultis Faw'!$A$2)</f>
        <v>-3.3578499999999983E-2</v>
      </c>
      <c r="M563" s="83">
        <f>_xlfn.IFNA(INDEX('Shultis Faw'!$F$2:$F$26,MATCH($C563,'Shultis Faw'!$A$2:$A$26,1))+($C563-INDEX('Shultis Faw'!$A$2:$A$26,MATCH($C563,'Shultis Faw'!$A$2:$A$26,1)))*(INDEX('Shultis Faw'!$F$2:$F$26,MATCH($C563,'Shultis Faw'!$A$2:$A$26,1)+1)-INDEX('Shultis Faw'!$F$2:$F$26,MATCH($C563,'Shultis Faw'!$A$2:$A$26,1)))/(INDEX('Shultis Faw'!$A$2:$A$26,MATCH($C563,'Shultis Faw'!$A$2:$A$26,1)+1)-INDEX('Shultis Faw'!$A$2:$A$26,MATCH($C563,'Shultis Faw'!$A$2:$A$26,1))),$C563*'Shultis Faw'!$F$2/'Shultis Faw'!$A$2)</f>
        <v>12.978929999999998</v>
      </c>
      <c r="N563" s="83">
        <f>J563*(H563*'Externe blootstelling'!$D$23/2)^K563+L563*(TANH(((H563*'Externe blootstelling'!$D$23)/(2*M563))-2)-TANH(-2))/(1-TANH(-2))</f>
        <v>0.90239138848026457</v>
      </c>
      <c r="O563" s="83">
        <f>IF(N563=1,1+(I563-1)*H563*'Externe blootstelling'!$D$23/2,1+(I563-1)*(N563^(H563*'Externe blootstelling'!$D$23/2)-1)/(N563-1))</f>
        <v>7.6758520588578953</v>
      </c>
      <c r="P563" s="67">
        <f>G563*EXP(-H563*'Externe blootstelling'!$D$23/2)*O563</f>
        <v>1.2621079287081482E-8</v>
      </c>
      <c r="Q563" s="68"/>
    </row>
    <row r="564" spans="1:17" x14ac:dyDescent="0.2">
      <c r="A564" s="217"/>
      <c r="B564" s="64" t="s">
        <v>104</v>
      </c>
      <c r="C564" s="66">
        <v>6.9500000000000006E-2</v>
      </c>
      <c r="D564" s="66">
        <f t="shared" si="40"/>
        <v>1.1119999999999999E-14</v>
      </c>
      <c r="E564" s="66">
        <v>7.0000000000000007E-5</v>
      </c>
      <c r="F564" s="66">
        <f>_xlfn.IFNA(INDEX('hp (pSv cm2)'!$B$2:$B$52,MATCH($C564,'hp (pSv cm2)'!$A$2:$A$52,1))+($C564-INDEX('hp (pSv cm2)'!$A$2:$A$52,MATCH($C564,'hp (pSv cm2)'!$A$2:$A$52,1)))*(INDEX('hp (pSv cm2)'!$B$2:$B$52,MATCH($C564,'hp (pSv cm2)'!$A$2:$A$52,1)+1)-INDEX('hp (pSv cm2)'!$B$2:$B$52,MATCH($C564,'hp (pSv cm2)'!$A$2:$A$52,1)))/(INDEX('hp (pSv cm2)'!$A$2:$A$52,MATCH($C564,'hp (pSv cm2)'!$A$2:$A$52,1)+1)-INDEX('hp (pSv cm2)'!$A$2:$A$52,MATCH($C564,'hp (pSv cm2)'!$A$2:$A$52,1))),$C564*'hp (pSv cm2)'!$B$2/'hp (pSv cm2)'!$A$2)</f>
        <v>0.40989999999999999</v>
      </c>
      <c r="G564" s="67">
        <f t="shared" si="41"/>
        <v>2.8693000000000001E-5</v>
      </c>
      <c r="H564" s="83">
        <f>_xlfn.IFNA(0.997*(INDEX('Mass attenuation coefficients'!$B$2:$B$37,MATCH($C564,'Mass attenuation coefficients'!$A$2:$A$37,1))+($C564-INDEX('Mass attenuation coefficients'!$A$2:$A$37,MATCH($C564,'Mass attenuation coefficients'!$A$2:$A$37,1)))*(INDEX('Mass attenuation coefficients'!$B$2:$B$37,MATCH($C564,'Mass attenuation coefficients'!$A$2:$A$37,1)+1)-INDEX('Mass attenuation coefficients'!$B$2:$B$37,MATCH($C564,'Mass attenuation coefficients'!$A$2:$A$37,1)))/(INDEX('Mass attenuation coefficients'!$A$2:$A$37,MATCH($C564,'Mass attenuation coefficients'!$A$2:$A$37,1)+1)-INDEX('Mass attenuation coefficients'!$A$2:$A$37,MATCH($C564,'Mass attenuation coefficients'!$A$2:$A$37,1)))),0.997*$C564*'Mass attenuation coefficients'!$B$2/'Mass attenuation coefficients'!$A$2)</f>
        <v>0.194768935</v>
      </c>
      <c r="I564" s="83">
        <f>_xlfn.IFNA(INDEX('Shultis Faw'!$C$2:$C$26,MATCH($C564,'Shultis Faw'!$A$2:$A$26,1))+($C564-INDEX('Shultis Faw'!$A$2:$A$26,MATCH($C564,'Shultis Faw'!$A$2:$A$26,1)))*(INDEX('Shultis Faw'!$C$2:$C$26,MATCH($C564,'Shultis Faw'!$A$2:$A$26,1)+1)-INDEX('Shultis Faw'!$C$2:$C$26,MATCH($C564,'Shultis Faw'!$A$2:$A$26,1)))/(INDEX('Shultis Faw'!$A$2:$A$26,MATCH($C564,'Shultis Faw'!$A$2:$A$26,1)+1)-INDEX('Shultis Faw'!$A$2:$A$26,MATCH($C564,'Shultis Faw'!$A$2:$A$26,1))),$C564*'Shultis Faw'!$C$2/'Shultis Faw'!$A$2)</f>
        <v>5.0190999999999999</v>
      </c>
      <c r="J564" s="83">
        <f>_xlfn.IFNA(INDEX('Shultis Faw'!$D$2:$D$26,MATCH($C564,'Shultis Faw'!$A$2:$A$26,1))+($C564-INDEX('Shultis Faw'!$A$2:$A$26,MATCH($C564,'Shultis Faw'!$A$2:$A$26,1)))*(INDEX('Shultis Faw'!$D$2:$D$26,MATCH($C564,'Shultis Faw'!$A$2:$A$26,1)+1)-INDEX('Shultis Faw'!$D$2:$D$26,MATCH($C564,'Shultis Faw'!$A$2:$A$26,1)))/(INDEX('Shultis Faw'!$A$2:$A$26,MATCH($C564,'Shultis Faw'!$A$2:$A$26,1)+1)-INDEX('Shultis Faw'!$A$2:$A$26,MATCH($C564,'Shultis Faw'!$A$2:$A$26,1))),$C564*'Shultis Faw'!$D$2/'Shultis Faw'!$A$2)</f>
        <v>1.8862750000000001</v>
      </c>
      <c r="K564" s="83">
        <f>_xlfn.IFNA(INDEX('Shultis Faw'!$B$2:$B$26,MATCH($C564,'Shultis Faw'!$A$2:$A$26,1))+($C564-INDEX('Shultis Faw'!$A$2:$A$26,MATCH($C564,'Shultis Faw'!$A$2:$A$26,1)))*(INDEX('Shultis Faw'!$B$2:$B$26,MATCH($C564,'Shultis Faw'!$A$2:$A$26,1)+1)-INDEX('Shultis Faw'!$B$2:$B$26,MATCH($C564,'Shultis Faw'!$A$2:$A$26,1)))/(INDEX('Shultis Faw'!$A$2:$A$26,MATCH($C564,'Shultis Faw'!$A$2:$A$26,1)+1)-INDEX('Shultis Faw'!$A$2:$A$26,MATCH($C564,'Shultis Faw'!$A$2:$A$26,1))),$C564*'Shultis Faw'!$B$2/'Shultis Faw'!$A$2)</f>
        <v>-0.14595000000000002</v>
      </c>
      <c r="L564" s="83">
        <f>_xlfn.IFNA(INDEX('Shultis Faw'!$E$2:$E$26,MATCH($C564,'Shultis Faw'!$A$2:$A$26,1))+($C564-INDEX('Shultis Faw'!$A$2:$A$26,MATCH($C564,'Shultis Faw'!$A$2:$A$26,1)))*(INDEX('Shultis Faw'!$E$2:$E$26,MATCH($C564,'Shultis Faw'!$A$2:$A$26,1)+1)-INDEX('Shultis Faw'!$E$2:$E$26,MATCH($C564,'Shultis Faw'!$A$2:$A$26,1)))/(INDEX('Shultis Faw'!$A$2:$A$26,MATCH($C564,'Shultis Faw'!$A$2:$A$26,1)+1)-INDEX('Shultis Faw'!$A$2:$A$26,MATCH($C564,'Shultis Faw'!$A$2:$A$26,1))),$C564*'Shultis Faw'!$E$2/'Shultis Faw'!$A$2)</f>
        <v>6.6027500000000003E-2</v>
      </c>
      <c r="M564" s="83">
        <f>_xlfn.IFNA(INDEX('Shultis Faw'!$F$2:$F$26,MATCH($C564,'Shultis Faw'!$A$2:$A$26,1))+($C564-INDEX('Shultis Faw'!$A$2:$A$26,MATCH($C564,'Shultis Faw'!$A$2:$A$26,1)))*(INDEX('Shultis Faw'!$F$2:$F$26,MATCH($C564,'Shultis Faw'!$A$2:$A$26,1)+1)-INDEX('Shultis Faw'!$F$2:$F$26,MATCH($C564,'Shultis Faw'!$A$2:$A$26,1)))/(INDEX('Shultis Faw'!$A$2:$A$26,MATCH($C564,'Shultis Faw'!$A$2:$A$26,1)+1)-INDEX('Shultis Faw'!$A$2:$A$26,MATCH($C564,'Shultis Faw'!$A$2:$A$26,1))),$C564*'Shultis Faw'!$F$2/'Shultis Faw'!$A$2)</f>
        <v>13.654250000000001</v>
      </c>
      <c r="N564" s="83">
        <f>J564*(H564*'Externe blootstelling'!$D$23/2)^K564+L564*(TANH(((H564*'Externe blootstelling'!$D$23)/(2*M564))-2)-TANH(-2))/(1-TANH(-2))</f>
        <v>1.6136829143097691</v>
      </c>
      <c r="O564" s="83">
        <f>IF(N564=1,1+(I564-1)*H564*'Externe blootstelling'!$D$23/2,1+(I564-1)*(N564^(H564*'Externe blootstelling'!$D$23/2)-1)/(N564-1))</f>
        <v>20.956152387124881</v>
      </c>
      <c r="P564" s="67">
        <f>G564*EXP(-H564*'Externe blootstelling'!$D$23/2)*O564</f>
        <v>3.2380339687843519E-5</v>
      </c>
      <c r="Q564" s="68"/>
    </row>
    <row r="565" spans="1:17" x14ac:dyDescent="0.2">
      <c r="A565" s="217"/>
      <c r="B565" s="64" t="s">
        <v>104</v>
      </c>
      <c r="C565" s="66">
        <v>7.0900000000000005E-2</v>
      </c>
      <c r="D565" s="66">
        <f t="shared" si="40"/>
        <v>1.1344E-14</v>
      </c>
      <c r="E565" s="66">
        <v>3.6000000000000001E-5</v>
      </c>
      <c r="F565" s="66">
        <f>_xlfn.IFNA(INDEX('hp (pSv cm2)'!$B$2:$B$52,MATCH($C565,'hp (pSv cm2)'!$A$2:$A$52,1))+($C565-INDEX('hp (pSv cm2)'!$A$2:$A$52,MATCH($C565,'hp (pSv cm2)'!$A$2:$A$52,1)))*(INDEX('hp (pSv cm2)'!$B$2:$B$52,MATCH($C565,'hp (pSv cm2)'!$A$2:$A$52,1)+1)-INDEX('hp (pSv cm2)'!$B$2:$B$52,MATCH($C565,'hp (pSv cm2)'!$A$2:$A$52,1)))/(INDEX('hp (pSv cm2)'!$A$2:$A$52,MATCH($C565,'hp (pSv cm2)'!$A$2:$A$52,1)+1)-INDEX('hp (pSv cm2)'!$A$2:$A$52,MATCH($C565,'hp (pSv cm2)'!$A$2:$A$52,1))),$C565*'hp (pSv cm2)'!$B$2/'hp (pSv cm2)'!$A$2)</f>
        <v>0.41387999999999997</v>
      </c>
      <c r="G565" s="67">
        <f t="shared" si="41"/>
        <v>1.4899679999999999E-5</v>
      </c>
      <c r="H565" s="83">
        <f>_xlfn.IFNA(0.997*(INDEX('Mass attenuation coefficients'!$B$2:$B$37,MATCH($C565,'Mass attenuation coefficients'!$A$2:$A$37,1))+($C565-INDEX('Mass attenuation coefficients'!$A$2:$A$37,MATCH($C565,'Mass attenuation coefficients'!$A$2:$A$37,1)))*(INDEX('Mass attenuation coefficients'!$B$2:$B$37,MATCH($C565,'Mass attenuation coefficients'!$A$2:$A$37,1)+1)-INDEX('Mass attenuation coefficients'!$B$2:$B$37,MATCH($C565,'Mass attenuation coefficients'!$A$2:$A$37,1)))/(INDEX('Mass attenuation coefficients'!$A$2:$A$37,MATCH($C565,'Mass attenuation coefficients'!$A$2:$A$37,1)+1)-INDEX('Mass attenuation coefficients'!$A$2:$A$37,MATCH($C565,'Mass attenuation coefficients'!$A$2:$A$37,1)))),0.997*$C565*'Mass attenuation coefficients'!$B$2/'Mass attenuation coefficients'!$A$2)</f>
        <v>0.19321959699999999</v>
      </c>
      <c r="I565" s="83">
        <f>_xlfn.IFNA(INDEX('Shultis Faw'!$C$2:$C$26,MATCH($C565,'Shultis Faw'!$A$2:$A$26,1))+($C565-INDEX('Shultis Faw'!$A$2:$A$26,MATCH($C565,'Shultis Faw'!$A$2:$A$26,1)))*(INDEX('Shultis Faw'!$C$2:$C$26,MATCH($C565,'Shultis Faw'!$A$2:$A$26,1)+1)-INDEX('Shultis Faw'!$C$2:$C$26,MATCH($C565,'Shultis Faw'!$A$2:$A$26,1)))/(INDEX('Shultis Faw'!$A$2:$A$26,MATCH($C565,'Shultis Faw'!$A$2:$A$26,1)+1)-INDEX('Shultis Faw'!$A$2:$A$26,MATCH($C565,'Shultis Faw'!$A$2:$A$26,1))),$C565*'Shultis Faw'!$C$2/'Shultis Faw'!$A$2)</f>
        <v>5.0244200000000001</v>
      </c>
      <c r="J565" s="83">
        <f>_xlfn.IFNA(INDEX('Shultis Faw'!$D$2:$D$26,MATCH($C565,'Shultis Faw'!$A$2:$A$26,1))+($C565-INDEX('Shultis Faw'!$A$2:$A$26,MATCH($C565,'Shultis Faw'!$A$2:$A$26,1)))*(INDEX('Shultis Faw'!$D$2:$D$26,MATCH($C565,'Shultis Faw'!$A$2:$A$26,1)+1)-INDEX('Shultis Faw'!$D$2:$D$26,MATCH($C565,'Shultis Faw'!$A$2:$A$26,1)))/(INDEX('Shultis Faw'!$A$2:$A$26,MATCH($C565,'Shultis Faw'!$A$2:$A$26,1)+1)-INDEX('Shultis Faw'!$A$2:$A$26,MATCH($C565,'Shultis Faw'!$A$2:$A$26,1))),$C565*'Shultis Faw'!$D$2/'Shultis Faw'!$A$2)</f>
        <v>1.9093050000000003</v>
      </c>
      <c r="K565" s="83">
        <f>_xlfn.IFNA(INDEX('Shultis Faw'!$B$2:$B$26,MATCH($C565,'Shultis Faw'!$A$2:$A$26,1))+($C565-INDEX('Shultis Faw'!$A$2:$A$26,MATCH($C565,'Shultis Faw'!$A$2:$A$26,1)))*(INDEX('Shultis Faw'!$B$2:$B$26,MATCH($C565,'Shultis Faw'!$A$2:$A$26,1)+1)-INDEX('Shultis Faw'!$B$2:$B$26,MATCH($C565,'Shultis Faw'!$A$2:$A$26,1)))/(INDEX('Shultis Faw'!$A$2:$A$26,MATCH($C565,'Shultis Faw'!$A$2:$A$26,1)+1)-INDEX('Shultis Faw'!$A$2:$A$26,MATCH($C565,'Shultis Faw'!$A$2:$A$26,1))),$C565*'Shultis Faw'!$B$2/'Shultis Faw'!$A$2)</f>
        <v>-0.14889000000000002</v>
      </c>
      <c r="L565" s="83">
        <f>_xlfn.IFNA(INDEX('Shultis Faw'!$E$2:$E$26,MATCH($C565,'Shultis Faw'!$A$2:$A$26,1))+($C565-INDEX('Shultis Faw'!$A$2:$A$26,MATCH($C565,'Shultis Faw'!$A$2:$A$26,1)))*(INDEX('Shultis Faw'!$E$2:$E$26,MATCH($C565,'Shultis Faw'!$A$2:$A$26,1)+1)-INDEX('Shultis Faw'!$E$2:$E$26,MATCH($C565,'Shultis Faw'!$A$2:$A$26,1)))/(INDEX('Shultis Faw'!$A$2:$A$26,MATCH($C565,'Shultis Faw'!$A$2:$A$26,1)+1)-INDEX('Shultis Faw'!$A$2:$A$26,MATCH($C565,'Shultis Faw'!$A$2:$A$26,1))),$C565*'Shultis Faw'!$E$2/'Shultis Faw'!$A$2)</f>
        <v>6.7490500000000009E-2</v>
      </c>
      <c r="M565" s="83">
        <f>_xlfn.IFNA(INDEX('Shultis Faw'!$F$2:$F$26,MATCH($C565,'Shultis Faw'!$A$2:$A$26,1))+($C565-INDEX('Shultis Faw'!$A$2:$A$26,MATCH($C565,'Shultis Faw'!$A$2:$A$26,1)))*(INDEX('Shultis Faw'!$F$2:$F$26,MATCH($C565,'Shultis Faw'!$A$2:$A$26,1)+1)-INDEX('Shultis Faw'!$F$2:$F$26,MATCH($C565,'Shultis Faw'!$A$2:$A$26,1)))/(INDEX('Shultis Faw'!$A$2:$A$26,MATCH($C565,'Shultis Faw'!$A$2:$A$26,1)+1)-INDEX('Shultis Faw'!$A$2:$A$26,MATCH($C565,'Shultis Faw'!$A$2:$A$26,1))),$C565*'Shultis Faw'!$F$2/'Shultis Faw'!$A$2)</f>
        <v>13.65635</v>
      </c>
      <c r="N565" s="83">
        <f>J565*(H565*'Externe blootstelling'!$D$23/2)^K565+L565*(TANH(((H565*'Externe blootstelling'!$D$23)/(2*M565))-2)-TANH(-2))/(1-TANH(-2))</f>
        <v>1.6301829424041567</v>
      </c>
      <c r="O565" s="83">
        <f>IF(N565=1,1+(I565-1)*H565*'Externe blootstelling'!$D$23/2,1+(I565-1)*(N565^(H565*'Externe blootstelling'!$D$23/2)-1)/(N565-1))</f>
        <v>20.938376375764857</v>
      </c>
      <c r="P565" s="67">
        <f>G565*EXP(-H565*'Externe blootstelling'!$D$23/2)*O565</f>
        <v>1.7195185754956024E-5</v>
      </c>
      <c r="Q565" s="68"/>
    </row>
    <row r="566" spans="1:17" x14ac:dyDescent="0.2">
      <c r="A566" s="217"/>
      <c r="B566" s="64" t="s">
        <v>102</v>
      </c>
      <c r="C566" s="66">
        <v>8.1069999999999989E-2</v>
      </c>
      <c r="D566" s="66">
        <f t="shared" si="40"/>
        <v>1.2971199999999997E-14</v>
      </c>
      <c r="E566" s="66">
        <v>0.14859999999999998</v>
      </c>
      <c r="F566" s="66">
        <f>_xlfn.IFNA(INDEX('hp (pSv cm2)'!$B$2:$B$52,MATCH($C566,'hp (pSv cm2)'!$A$2:$A$52,1))+($C566-INDEX('hp (pSv cm2)'!$A$2:$A$52,MATCH($C566,'hp (pSv cm2)'!$A$2:$A$52,1)))*(INDEX('hp (pSv cm2)'!$B$2:$B$52,MATCH($C566,'hp (pSv cm2)'!$A$2:$A$52,1)+1)-INDEX('hp (pSv cm2)'!$B$2:$B$52,MATCH($C566,'hp (pSv cm2)'!$A$2:$A$52,1)))/(INDEX('hp (pSv cm2)'!$A$2:$A$52,MATCH($C566,'hp (pSv cm2)'!$A$2:$A$52,1)+1)-INDEX('hp (pSv cm2)'!$A$2:$A$52,MATCH($C566,'hp (pSv cm2)'!$A$2:$A$52,1))),$C566*'hp (pSv cm2)'!$B$2/'hp (pSv cm2)'!$A$2)</f>
        <v>0.44701249999999998</v>
      </c>
      <c r="G566" s="67">
        <f t="shared" si="41"/>
        <v>6.6426057499999983E-2</v>
      </c>
      <c r="H566" s="83">
        <f>_xlfn.IFNA(0.997*(INDEX('Mass attenuation coefficients'!$B$2:$B$37,MATCH($C566,'Mass attenuation coefficients'!$A$2:$A$37,1))+($C566-INDEX('Mass attenuation coefficients'!$A$2:$A$37,MATCH($C566,'Mass attenuation coefficients'!$A$2:$A$37,1)))*(INDEX('Mass attenuation coefficients'!$B$2:$B$37,MATCH($C566,'Mass attenuation coefficients'!$A$2:$A$37,1)+1)-INDEX('Mass attenuation coefficients'!$B$2:$B$37,MATCH($C566,'Mass attenuation coefficients'!$A$2:$A$37,1)))/(INDEX('Mass attenuation coefficients'!$A$2:$A$37,MATCH($C566,'Mass attenuation coefficients'!$A$2:$A$37,1)+1)-INDEX('Mass attenuation coefficients'!$A$2:$A$37,MATCH($C566,'Mass attenuation coefficients'!$A$2:$A$37,1)))),0.997*$C566*'Mass attenuation coefficients'!$B$2/'Mass attenuation coefficients'!$A$2)</f>
        <v>0.18245548650000001</v>
      </c>
      <c r="I566" s="83">
        <f>_xlfn.IFNA(INDEX('Shultis Faw'!$C$2:$C$26,MATCH($C566,'Shultis Faw'!$A$2:$A$26,1))+($C566-INDEX('Shultis Faw'!$A$2:$A$26,MATCH($C566,'Shultis Faw'!$A$2:$A$26,1)))*(INDEX('Shultis Faw'!$C$2:$C$26,MATCH($C566,'Shultis Faw'!$A$2:$A$26,1)+1)-INDEX('Shultis Faw'!$C$2:$C$26,MATCH($C566,'Shultis Faw'!$A$2:$A$26,1)))/(INDEX('Shultis Faw'!$A$2:$A$26,MATCH($C566,'Shultis Faw'!$A$2:$A$26,1)+1)-INDEX('Shultis Faw'!$A$2:$A$26,MATCH($C566,'Shultis Faw'!$A$2:$A$26,1))),$C566*'Shultis Faw'!$C$2/'Shultis Faw'!$A$2)</f>
        <v>5.037814</v>
      </c>
      <c r="J566" s="83">
        <f>_xlfn.IFNA(INDEX('Shultis Faw'!$D$2:$D$26,MATCH($C566,'Shultis Faw'!$A$2:$A$26,1))+($C566-INDEX('Shultis Faw'!$A$2:$A$26,MATCH($C566,'Shultis Faw'!$A$2:$A$26,1)))*(INDEX('Shultis Faw'!$D$2:$D$26,MATCH($C566,'Shultis Faw'!$A$2:$A$26,1)+1)-INDEX('Shultis Faw'!$D$2:$D$26,MATCH($C566,'Shultis Faw'!$A$2:$A$26,1)))/(INDEX('Shultis Faw'!$A$2:$A$26,MATCH($C566,'Shultis Faw'!$A$2:$A$26,1)+1)-INDEX('Shultis Faw'!$A$2:$A$26,MATCH($C566,'Shultis Faw'!$A$2:$A$26,1))),$C566*'Shultis Faw'!$D$2/'Shultis Faw'!$A$2)</f>
        <v>2.0676670000000001</v>
      </c>
      <c r="K566" s="83">
        <f>_xlfn.IFNA(INDEX('Shultis Faw'!$B$2:$B$26,MATCH($C566,'Shultis Faw'!$A$2:$A$26,1))+($C566-INDEX('Shultis Faw'!$A$2:$A$26,MATCH($C566,'Shultis Faw'!$A$2:$A$26,1)))*(INDEX('Shultis Faw'!$B$2:$B$26,MATCH($C566,'Shultis Faw'!$A$2:$A$26,1)+1)-INDEX('Shultis Faw'!$B$2:$B$26,MATCH($C566,'Shultis Faw'!$A$2:$A$26,1)))/(INDEX('Shultis Faw'!$A$2:$A$26,MATCH($C566,'Shultis Faw'!$A$2:$A$26,1)+1)-INDEX('Shultis Faw'!$A$2:$A$26,MATCH($C566,'Shultis Faw'!$A$2:$A$26,1))),$C566*'Shultis Faw'!$B$2/'Shultis Faw'!$A$2)</f>
        <v>-0.168963</v>
      </c>
      <c r="L566" s="83">
        <f>_xlfn.IFNA(INDEX('Shultis Faw'!$E$2:$E$26,MATCH($C566,'Shultis Faw'!$A$2:$A$26,1))+($C566-INDEX('Shultis Faw'!$A$2:$A$26,MATCH($C566,'Shultis Faw'!$A$2:$A$26,1)))*(INDEX('Shultis Faw'!$E$2:$E$26,MATCH($C566,'Shultis Faw'!$A$2:$A$26,1)+1)-INDEX('Shultis Faw'!$E$2:$E$26,MATCH($C566,'Shultis Faw'!$A$2:$A$26,1)))/(INDEX('Shultis Faw'!$A$2:$A$26,MATCH($C566,'Shultis Faw'!$A$2:$A$26,1)+1)-INDEX('Shultis Faw'!$A$2:$A$26,MATCH($C566,'Shultis Faw'!$A$2:$A$26,1))),$C566*'Shultis Faw'!$E$2/'Shultis Faw'!$A$2)</f>
        <v>7.7299599999999996E-2</v>
      </c>
      <c r="M566" s="83">
        <f>_xlfn.IFNA(INDEX('Shultis Faw'!$F$2:$F$26,MATCH($C566,'Shultis Faw'!$A$2:$A$26,1))+($C566-INDEX('Shultis Faw'!$A$2:$A$26,MATCH($C566,'Shultis Faw'!$A$2:$A$26,1)))*(INDEX('Shultis Faw'!$F$2:$F$26,MATCH($C566,'Shultis Faw'!$A$2:$A$26,1)+1)-INDEX('Shultis Faw'!$F$2:$F$26,MATCH($C566,'Shultis Faw'!$A$2:$A$26,1)))/(INDEX('Shultis Faw'!$A$2:$A$26,MATCH($C566,'Shultis Faw'!$A$2:$A$26,1)+1)-INDEX('Shultis Faw'!$A$2:$A$26,MATCH($C566,'Shultis Faw'!$A$2:$A$26,1))),$C566*'Shultis Faw'!$F$2/'Shultis Faw'!$A$2)</f>
        <v>13.651809999999999</v>
      </c>
      <c r="N566" s="83">
        <f>J566*(H566*'Externe blootstelling'!$D$23/2)^K566+L566*(TANH(((H566*'Externe blootstelling'!$D$23)/(2*M566))-2)-TANH(-2))/(1-TANH(-2))</f>
        <v>1.744902019661456</v>
      </c>
      <c r="O566" s="83">
        <f>IF(N566=1,1+(I566-1)*H566*'Externe blootstelling'!$D$23/2,1+(I566-1)*(N566^(H566*'Externe blootstelling'!$D$23/2)-1)/(N566-1))</f>
        <v>20.452734331502082</v>
      </c>
      <c r="P566" s="67">
        <f>G566*EXP(-H566*'Externe blootstelling'!$D$23/2)*O566</f>
        <v>8.8003245626949209E-2</v>
      </c>
      <c r="Q566" s="68"/>
    </row>
    <row r="567" spans="1:17" x14ac:dyDescent="0.2">
      <c r="A567" s="217"/>
      <c r="B567" s="64" t="s">
        <v>102</v>
      </c>
      <c r="C567" s="66">
        <v>8.3780000000000007E-2</v>
      </c>
      <c r="D567" s="66">
        <f t="shared" si="40"/>
        <v>1.3404799999999999E-14</v>
      </c>
      <c r="E567" s="66">
        <v>0.245</v>
      </c>
      <c r="F567" s="66">
        <f>_xlfn.IFNA(INDEX('hp (pSv cm2)'!$B$2:$B$52,MATCH($C567,'hp (pSv cm2)'!$A$2:$A$52,1))+($C567-INDEX('hp (pSv cm2)'!$A$2:$A$52,MATCH($C567,'hp (pSv cm2)'!$A$2:$A$52,1)))*(INDEX('hp (pSv cm2)'!$B$2:$B$52,MATCH($C567,'hp (pSv cm2)'!$A$2:$A$52,1)+1)-INDEX('hp (pSv cm2)'!$B$2:$B$52,MATCH($C567,'hp (pSv cm2)'!$A$2:$A$52,1)))/(INDEX('hp (pSv cm2)'!$A$2:$A$52,MATCH($C567,'hp (pSv cm2)'!$A$2:$A$52,1)+1)-INDEX('hp (pSv cm2)'!$A$2:$A$52,MATCH($C567,'hp (pSv cm2)'!$A$2:$A$52,1))),$C567*'hp (pSv cm2)'!$B$2/'hp (pSv cm2)'!$A$2)</f>
        <v>0.457175</v>
      </c>
      <c r="G567" s="67">
        <f t="shared" si="41"/>
        <v>0.11200787499999999</v>
      </c>
      <c r="H567" s="83">
        <f>_xlfn.IFNA(0.997*(INDEX('Mass attenuation coefficients'!$B$2:$B$37,MATCH($C567,'Mass attenuation coefficients'!$A$2:$A$37,1))+($C567-INDEX('Mass attenuation coefficients'!$A$2:$A$37,MATCH($C567,'Mass attenuation coefficients'!$A$2:$A$37,1)))*(INDEX('Mass attenuation coefficients'!$B$2:$B$37,MATCH($C567,'Mass attenuation coefficients'!$A$2:$A$37,1)+1)-INDEX('Mass attenuation coefficients'!$B$2:$B$37,MATCH($C567,'Mass attenuation coefficients'!$A$2:$A$37,1)))/(INDEX('Mass attenuation coefficients'!$A$2:$A$37,MATCH($C567,'Mass attenuation coefficients'!$A$2:$A$37,1)+1)-INDEX('Mass attenuation coefficients'!$A$2:$A$37,MATCH($C567,'Mass attenuation coefficients'!$A$2:$A$37,1)))),0.997*$C567*'Mass attenuation coefficients'!$B$2/'Mass attenuation coefficients'!$A$2)</f>
        <v>0.18069927099999999</v>
      </c>
      <c r="I567" s="83">
        <f>_xlfn.IFNA(INDEX('Shultis Faw'!$C$2:$C$26,MATCH($C567,'Shultis Faw'!$A$2:$A$26,1))+($C567-INDEX('Shultis Faw'!$A$2:$A$26,MATCH($C567,'Shultis Faw'!$A$2:$A$26,1)))*(INDEX('Shultis Faw'!$C$2:$C$26,MATCH($C567,'Shultis Faw'!$A$2:$A$26,1)+1)-INDEX('Shultis Faw'!$C$2:$C$26,MATCH($C567,'Shultis Faw'!$A$2:$A$26,1)))/(INDEX('Shultis Faw'!$A$2:$A$26,MATCH($C567,'Shultis Faw'!$A$2:$A$26,1)+1)-INDEX('Shultis Faw'!$A$2:$A$26,MATCH($C567,'Shultis Faw'!$A$2:$A$26,1))),$C567*'Shultis Faw'!$C$2/'Shultis Faw'!$A$2)</f>
        <v>4.9841560000000005</v>
      </c>
      <c r="J567" s="83">
        <f>_xlfn.IFNA(INDEX('Shultis Faw'!$D$2:$D$26,MATCH($C567,'Shultis Faw'!$A$2:$A$26,1))+($C567-INDEX('Shultis Faw'!$A$2:$A$26,MATCH($C567,'Shultis Faw'!$A$2:$A$26,1)))*(INDEX('Shultis Faw'!$D$2:$D$26,MATCH($C567,'Shultis Faw'!$A$2:$A$26,1)+1)-INDEX('Shultis Faw'!$D$2:$D$26,MATCH($C567,'Shultis Faw'!$A$2:$A$26,1)))/(INDEX('Shultis Faw'!$A$2:$A$26,MATCH($C567,'Shultis Faw'!$A$2:$A$26,1)+1)-INDEX('Shultis Faw'!$A$2:$A$26,MATCH($C567,'Shultis Faw'!$A$2:$A$26,1))),$C567*'Shultis Faw'!$D$2/'Shultis Faw'!$A$2)</f>
        <v>2.0896180000000002</v>
      </c>
      <c r="K567" s="83">
        <f>_xlfn.IFNA(INDEX('Shultis Faw'!$B$2:$B$26,MATCH($C567,'Shultis Faw'!$A$2:$A$26,1))+($C567-INDEX('Shultis Faw'!$A$2:$A$26,MATCH($C567,'Shultis Faw'!$A$2:$A$26,1)))*(INDEX('Shultis Faw'!$B$2:$B$26,MATCH($C567,'Shultis Faw'!$A$2:$A$26,1)+1)-INDEX('Shultis Faw'!$B$2:$B$26,MATCH($C567,'Shultis Faw'!$A$2:$A$26,1)))/(INDEX('Shultis Faw'!$A$2:$A$26,MATCH($C567,'Shultis Faw'!$A$2:$A$26,1)+1)-INDEX('Shultis Faw'!$A$2:$A$26,MATCH($C567,'Shultis Faw'!$A$2:$A$26,1))),$C567*'Shultis Faw'!$B$2/'Shultis Faw'!$A$2)</f>
        <v>-0.171402</v>
      </c>
      <c r="L567" s="83">
        <f>_xlfn.IFNA(INDEX('Shultis Faw'!$E$2:$E$26,MATCH($C567,'Shultis Faw'!$A$2:$A$26,1))+($C567-INDEX('Shultis Faw'!$A$2:$A$26,MATCH($C567,'Shultis Faw'!$A$2:$A$26,1)))*(INDEX('Shultis Faw'!$E$2:$E$26,MATCH($C567,'Shultis Faw'!$A$2:$A$26,1)+1)-INDEX('Shultis Faw'!$E$2:$E$26,MATCH($C567,'Shultis Faw'!$A$2:$A$26,1)))/(INDEX('Shultis Faw'!$A$2:$A$26,MATCH($C567,'Shultis Faw'!$A$2:$A$26,1)+1)-INDEX('Shultis Faw'!$A$2:$A$26,MATCH($C567,'Shultis Faw'!$A$2:$A$26,1))),$C567*'Shultis Faw'!$E$2/'Shultis Faw'!$A$2)</f>
        <v>7.80584E-2</v>
      </c>
      <c r="M567" s="83">
        <f>_xlfn.IFNA(INDEX('Shultis Faw'!$F$2:$F$26,MATCH($C567,'Shultis Faw'!$A$2:$A$26,1))+($C567-INDEX('Shultis Faw'!$A$2:$A$26,MATCH($C567,'Shultis Faw'!$A$2:$A$26,1)))*(INDEX('Shultis Faw'!$F$2:$F$26,MATCH($C567,'Shultis Faw'!$A$2:$A$26,1)+1)-INDEX('Shultis Faw'!$F$2:$F$26,MATCH($C567,'Shultis Faw'!$A$2:$A$26,1)))/(INDEX('Shultis Faw'!$A$2:$A$26,MATCH($C567,'Shultis Faw'!$A$2:$A$26,1)+1)-INDEX('Shultis Faw'!$A$2:$A$26,MATCH($C567,'Shultis Faw'!$A$2:$A$26,1))),$C567*'Shultis Faw'!$F$2/'Shultis Faw'!$A$2)</f>
        <v>13.605739999999999</v>
      </c>
      <c r="N567" s="83">
        <f>J567*(H567*'Externe blootstelling'!$D$23/2)^K567+L567*(TANH(((H567*'Externe blootstelling'!$D$23)/(2*M567))-2)-TANH(-2))/(1-TANH(-2))</f>
        <v>1.762015018133271</v>
      </c>
      <c r="O567" s="83">
        <f>IF(N567=1,1+(I567-1)*H567*'Externe blootstelling'!$D$23/2,1+(I567-1)*(N567^(H567*'Externe blootstelling'!$D$23/2)-1)/(N567-1))</f>
        <v>20.047664865644357</v>
      </c>
      <c r="P567" s="67">
        <f>G567*EXP(-H567*'Externe blootstelling'!$D$23/2)*O567</f>
        <v>0.1493351035400316</v>
      </c>
      <c r="Q567" s="68"/>
    </row>
    <row r="568" spans="1:17" x14ac:dyDescent="0.2">
      <c r="A568" s="217"/>
      <c r="B568" s="64" t="s">
        <v>102</v>
      </c>
      <c r="C568" s="66">
        <v>9.48547E-2</v>
      </c>
      <c r="D568" s="66">
        <f t="shared" si="40"/>
        <v>1.5176751999999999E-14</v>
      </c>
      <c r="E568" s="66">
        <v>8.5000000000000006E-2</v>
      </c>
      <c r="F568" s="66">
        <f>_xlfn.IFNA(INDEX('hp (pSv cm2)'!$B$2:$B$52,MATCH($C568,'hp (pSv cm2)'!$A$2:$A$52,1))+($C568-INDEX('hp (pSv cm2)'!$A$2:$A$52,MATCH($C568,'hp (pSv cm2)'!$A$2:$A$52,1)))*(INDEX('hp (pSv cm2)'!$B$2:$B$52,MATCH($C568,'hp (pSv cm2)'!$A$2:$A$52,1)+1)-INDEX('hp (pSv cm2)'!$B$2:$B$52,MATCH($C568,'hp (pSv cm2)'!$A$2:$A$52,1)))/(INDEX('hp (pSv cm2)'!$A$2:$A$52,MATCH($C568,'hp (pSv cm2)'!$A$2:$A$52,1)+1)-INDEX('hp (pSv cm2)'!$A$2:$A$52,MATCH($C568,'hp (pSv cm2)'!$A$2:$A$52,1))),$C568*'hp (pSv cm2)'!$B$2/'hp (pSv cm2)'!$A$2)</f>
        <v>0.49870512499999997</v>
      </c>
      <c r="G568" s="67">
        <f t="shared" si="41"/>
        <v>4.2389935625E-2</v>
      </c>
      <c r="H568" s="83">
        <f>_xlfn.IFNA(0.997*(INDEX('Mass attenuation coefficients'!$B$2:$B$37,MATCH($C568,'Mass attenuation coefficients'!$A$2:$A$37,1))+($C568-INDEX('Mass attenuation coefficients'!$A$2:$A$37,MATCH($C568,'Mass attenuation coefficients'!$A$2:$A$37,1)))*(INDEX('Mass attenuation coefficients'!$B$2:$B$37,MATCH($C568,'Mass attenuation coefficients'!$A$2:$A$37,1)+1)-INDEX('Mass attenuation coefficients'!$B$2:$B$37,MATCH($C568,'Mass attenuation coefficients'!$A$2:$A$37,1)))/(INDEX('Mass attenuation coefficients'!$A$2:$A$37,MATCH($C568,'Mass attenuation coefficients'!$A$2:$A$37,1)+1)-INDEX('Mass attenuation coefficients'!$A$2:$A$37,MATCH($C568,'Mass attenuation coefficients'!$A$2:$A$37,1)))),0.997*$C568*'Mass attenuation coefficients'!$B$2/'Mass attenuation coefficients'!$A$2)</f>
        <v>0.17352231166499998</v>
      </c>
      <c r="I568" s="83">
        <f>_xlfn.IFNA(INDEX('Shultis Faw'!$C$2:$C$26,MATCH($C568,'Shultis Faw'!$A$2:$A$26,1))+($C568-INDEX('Shultis Faw'!$A$2:$A$26,MATCH($C568,'Shultis Faw'!$A$2:$A$26,1)))*(INDEX('Shultis Faw'!$C$2:$C$26,MATCH($C568,'Shultis Faw'!$A$2:$A$26,1)+1)-INDEX('Shultis Faw'!$C$2:$C$26,MATCH($C568,'Shultis Faw'!$A$2:$A$26,1)))/(INDEX('Shultis Faw'!$A$2:$A$26,MATCH($C568,'Shultis Faw'!$A$2:$A$26,1)+1)-INDEX('Shultis Faw'!$A$2:$A$26,MATCH($C568,'Shultis Faw'!$A$2:$A$26,1))),$C568*'Shultis Faw'!$C$2/'Shultis Faw'!$A$2)</f>
        <v>4.7648769400000006</v>
      </c>
      <c r="J568" s="83">
        <f>_xlfn.IFNA(INDEX('Shultis Faw'!$D$2:$D$26,MATCH($C568,'Shultis Faw'!$A$2:$A$26,1))+($C568-INDEX('Shultis Faw'!$A$2:$A$26,MATCH($C568,'Shultis Faw'!$A$2:$A$26,1)))*(INDEX('Shultis Faw'!$D$2:$D$26,MATCH($C568,'Shultis Faw'!$A$2:$A$26,1)+1)-INDEX('Shultis Faw'!$D$2:$D$26,MATCH($C568,'Shultis Faw'!$A$2:$A$26,1)))/(INDEX('Shultis Faw'!$A$2:$A$26,MATCH($C568,'Shultis Faw'!$A$2:$A$26,1)+1)-INDEX('Shultis Faw'!$A$2:$A$26,MATCH($C568,'Shultis Faw'!$A$2:$A$26,1))),$C568*'Shultis Faw'!$D$2/'Shultis Faw'!$A$2)</f>
        <v>2.1793230700000001</v>
      </c>
      <c r="K568" s="83">
        <f>_xlfn.IFNA(INDEX('Shultis Faw'!$B$2:$B$26,MATCH($C568,'Shultis Faw'!$A$2:$A$26,1))+($C568-INDEX('Shultis Faw'!$A$2:$A$26,MATCH($C568,'Shultis Faw'!$A$2:$A$26,1)))*(INDEX('Shultis Faw'!$B$2:$B$26,MATCH($C568,'Shultis Faw'!$A$2:$A$26,1)+1)-INDEX('Shultis Faw'!$B$2:$B$26,MATCH($C568,'Shultis Faw'!$A$2:$A$26,1)))/(INDEX('Shultis Faw'!$A$2:$A$26,MATCH($C568,'Shultis Faw'!$A$2:$A$26,1)+1)-INDEX('Shultis Faw'!$A$2:$A$26,MATCH($C568,'Shultis Faw'!$A$2:$A$26,1))),$C568*'Shultis Faw'!$B$2/'Shultis Faw'!$A$2)</f>
        <v>-0.18136922999999999</v>
      </c>
      <c r="L568" s="83">
        <f>_xlfn.IFNA(INDEX('Shultis Faw'!$E$2:$E$26,MATCH($C568,'Shultis Faw'!$A$2:$A$26,1))+($C568-INDEX('Shultis Faw'!$A$2:$A$26,MATCH($C568,'Shultis Faw'!$A$2:$A$26,1)))*(INDEX('Shultis Faw'!$E$2:$E$26,MATCH($C568,'Shultis Faw'!$A$2:$A$26,1)+1)-INDEX('Shultis Faw'!$E$2:$E$26,MATCH($C568,'Shultis Faw'!$A$2:$A$26,1)))/(INDEX('Shultis Faw'!$A$2:$A$26,MATCH($C568,'Shultis Faw'!$A$2:$A$26,1)+1)-INDEX('Shultis Faw'!$A$2:$A$26,MATCH($C568,'Shultis Faw'!$A$2:$A$26,1))),$C568*'Shultis Faw'!$E$2/'Shultis Faw'!$A$2)</f>
        <v>8.1159316000000009E-2</v>
      </c>
      <c r="M568" s="83">
        <f>_xlfn.IFNA(INDEX('Shultis Faw'!$F$2:$F$26,MATCH($C568,'Shultis Faw'!$A$2:$A$26,1))+($C568-INDEX('Shultis Faw'!$A$2:$A$26,MATCH($C568,'Shultis Faw'!$A$2:$A$26,1)))*(INDEX('Shultis Faw'!$F$2:$F$26,MATCH($C568,'Shultis Faw'!$A$2:$A$26,1)+1)-INDEX('Shultis Faw'!$F$2:$F$26,MATCH($C568,'Shultis Faw'!$A$2:$A$26,1)))/(INDEX('Shultis Faw'!$A$2:$A$26,MATCH($C568,'Shultis Faw'!$A$2:$A$26,1)+1)-INDEX('Shultis Faw'!$A$2:$A$26,MATCH($C568,'Shultis Faw'!$A$2:$A$26,1))),$C568*'Shultis Faw'!$F$2/'Shultis Faw'!$A$2)</f>
        <v>13.417470100000001</v>
      </c>
      <c r="N568" s="83">
        <f>J568*(H568*'Externe blootstelling'!$D$23/2)^K568+L568*(TANH(((H568*'Externe blootstelling'!$D$23)/(2*M568))-2)-TANH(-2))/(1-TANH(-2))</f>
        <v>1.8328840004039073</v>
      </c>
      <c r="O568" s="83">
        <f>IF(N568=1,1+(I568-1)*H568*'Externe blootstelling'!$D$23/2,1+(I568-1)*(N568^(H568*'Externe blootstelling'!$D$23/2)-1)/(N568-1))</f>
        <v>18.360506303053448</v>
      </c>
      <c r="P568" s="67">
        <f>G568*EXP(-H568*'Externe blootstelling'!$D$23/2)*O568</f>
        <v>5.7643543922877537E-2</v>
      </c>
      <c r="Q568" s="68"/>
    </row>
    <row r="569" spans="1:17" x14ac:dyDescent="0.2">
      <c r="A569" s="217"/>
      <c r="B569" s="64" t="s">
        <v>102</v>
      </c>
      <c r="C569" s="66">
        <v>9.7896699999999989E-2</v>
      </c>
      <c r="D569" s="66">
        <f t="shared" si="40"/>
        <v>1.5663471999999996E-14</v>
      </c>
      <c r="E569" s="66">
        <v>2.7200000000000002E-2</v>
      </c>
      <c r="F569" s="66">
        <f>_xlfn.IFNA(INDEX('hp (pSv cm2)'!$B$2:$B$52,MATCH($C569,'hp (pSv cm2)'!$A$2:$A$52,1))+($C569-INDEX('hp (pSv cm2)'!$A$2:$A$52,MATCH($C569,'hp (pSv cm2)'!$A$2:$A$52,1)))*(INDEX('hp (pSv cm2)'!$B$2:$B$52,MATCH($C569,'hp (pSv cm2)'!$A$2:$A$52,1)+1)-INDEX('hp (pSv cm2)'!$B$2:$B$52,MATCH($C569,'hp (pSv cm2)'!$A$2:$A$52,1)))/(INDEX('hp (pSv cm2)'!$A$2:$A$52,MATCH($C569,'hp (pSv cm2)'!$A$2:$A$52,1)+1)-INDEX('hp (pSv cm2)'!$A$2:$A$52,MATCH($C569,'hp (pSv cm2)'!$A$2:$A$52,1))),$C569*'hp (pSv cm2)'!$B$2/'hp (pSv cm2)'!$A$2)</f>
        <v>0.51011262499999999</v>
      </c>
      <c r="G569" s="67">
        <f t="shared" si="41"/>
        <v>1.38750634E-2</v>
      </c>
      <c r="H569" s="83">
        <f>_xlfn.IFNA(0.997*(INDEX('Mass attenuation coefficients'!$B$2:$B$37,MATCH($C569,'Mass attenuation coefficients'!$A$2:$A$37,1))+($C569-INDEX('Mass attenuation coefficients'!$A$2:$A$37,MATCH($C569,'Mass attenuation coefficients'!$A$2:$A$37,1)))*(INDEX('Mass attenuation coefficients'!$B$2:$B$37,MATCH($C569,'Mass attenuation coefficients'!$A$2:$A$37,1)+1)-INDEX('Mass attenuation coefficients'!$B$2:$B$37,MATCH($C569,'Mass attenuation coefficients'!$A$2:$A$37,1)))/(INDEX('Mass attenuation coefficients'!$A$2:$A$37,MATCH($C569,'Mass attenuation coefficients'!$A$2:$A$37,1)+1)-INDEX('Mass attenuation coefficients'!$A$2:$A$37,MATCH($C569,'Mass attenuation coefficients'!$A$2:$A$37,1)))),0.997*$C569*'Mass attenuation coefficients'!$B$2/'Mass attenuation coefficients'!$A$2)</f>
        <v>0.171550943565</v>
      </c>
      <c r="I569" s="83">
        <f>_xlfn.IFNA(INDEX('Shultis Faw'!$C$2:$C$26,MATCH($C569,'Shultis Faw'!$A$2:$A$26,1))+($C569-INDEX('Shultis Faw'!$A$2:$A$26,MATCH($C569,'Shultis Faw'!$A$2:$A$26,1)))*(INDEX('Shultis Faw'!$C$2:$C$26,MATCH($C569,'Shultis Faw'!$A$2:$A$26,1)+1)-INDEX('Shultis Faw'!$C$2:$C$26,MATCH($C569,'Shultis Faw'!$A$2:$A$26,1)))/(INDEX('Shultis Faw'!$A$2:$A$26,MATCH($C569,'Shultis Faw'!$A$2:$A$26,1)+1)-INDEX('Shultis Faw'!$A$2:$A$26,MATCH($C569,'Shultis Faw'!$A$2:$A$26,1))),$C569*'Shultis Faw'!$C$2/'Shultis Faw'!$A$2)</f>
        <v>4.7046453400000008</v>
      </c>
      <c r="J569" s="83">
        <f>_xlfn.IFNA(INDEX('Shultis Faw'!$D$2:$D$26,MATCH($C569,'Shultis Faw'!$A$2:$A$26,1))+($C569-INDEX('Shultis Faw'!$A$2:$A$26,MATCH($C569,'Shultis Faw'!$A$2:$A$26,1)))*(INDEX('Shultis Faw'!$D$2:$D$26,MATCH($C569,'Shultis Faw'!$A$2:$A$26,1)+1)-INDEX('Shultis Faw'!$D$2:$D$26,MATCH($C569,'Shultis Faw'!$A$2:$A$26,1)))/(INDEX('Shultis Faw'!$A$2:$A$26,MATCH($C569,'Shultis Faw'!$A$2:$A$26,1)+1)-INDEX('Shultis Faw'!$A$2:$A$26,MATCH($C569,'Shultis Faw'!$A$2:$A$26,1))),$C569*'Shultis Faw'!$D$2/'Shultis Faw'!$A$2)</f>
        <v>2.20396327</v>
      </c>
      <c r="K569" s="83">
        <f>_xlfn.IFNA(INDEX('Shultis Faw'!$B$2:$B$26,MATCH($C569,'Shultis Faw'!$A$2:$A$26,1))+($C569-INDEX('Shultis Faw'!$A$2:$A$26,MATCH($C569,'Shultis Faw'!$A$2:$A$26,1)))*(INDEX('Shultis Faw'!$B$2:$B$26,MATCH($C569,'Shultis Faw'!$A$2:$A$26,1)+1)-INDEX('Shultis Faw'!$B$2:$B$26,MATCH($C569,'Shultis Faw'!$A$2:$A$26,1)))/(INDEX('Shultis Faw'!$A$2:$A$26,MATCH($C569,'Shultis Faw'!$A$2:$A$26,1)+1)-INDEX('Shultis Faw'!$A$2:$A$26,MATCH($C569,'Shultis Faw'!$A$2:$A$26,1))),$C569*'Shultis Faw'!$B$2/'Shultis Faw'!$A$2)</f>
        <v>-0.18410702999999998</v>
      </c>
      <c r="L569" s="83">
        <f>_xlfn.IFNA(INDEX('Shultis Faw'!$E$2:$E$26,MATCH($C569,'Shultis Faw'!$A$2:$A$26,1))+($C569-INDEX('Shultis Faw'!$A$2:$A$26,MATCH($C569,'Shultis Faw'!$A$2:$A$26,1)))*(INDEX('Shultis Faw'!$E$2:$E$26,MATCH($C569,'Shultis Faw'!$A$2:$A$26,1)+1)-INDEX('Shultis Faw'!$E$2:$E$26,MATCH($C569,'Shultis Faw'!$A$2:$A$26,1)))/(INDEX('Shultis Faw'!$A$2:$A$26,MATCH($C569,'Shultis Faw'!$A$2:$A$26,1)+1)-INDEX('Shultis Faw'!$A$2:$A$26,MATCH($C569,'Shultis Faw'!$A$2:$A$26,1))),$C569*'Shultis Faw'!$E$2/'Shultis Faw'!$A$2)</f>
        <v>8.2011076000000002E-2</v>
      </c>
      <c r="M569" s="83">
        <f>_xlfn.IFNA(INDEX('Shultis Faw'!$F$2:$F$26,MATCH($C569,'Shultis Faw'!$A$2:$A$26,1))+($C569-INDEX('Shultis Faw'!$A$2:$A$26,MATCH($C569,'Shultis Faw'!$A$2:$A$26,1)))*(INDEX('Shultis Faw'!$F$2:$F$26,MATCH($C569,'Shultis Faw'!$A$2:$A$26,1)+1)-INDEX('Shultis Faw'!$F$2:$F$26,MATCH($C569,'Shultis Faw'!$A$2:$A$26,1)))/(INDEX('Shultis Faw'!$A$2:$A$26,MATCH($C569,'Shultis Faw'!$A$2:$A$26,1)+1)-INDEX('Shultis Faw'!$A$2:$A$26,MATCH($C569,'Shultis Faw'!$A$2:$A$26,1))),$C569*'Shultis Faw'!$F$2/'Shultis Faw'!$A$2)</f>
        <v>13.3657561</v>
      </c>
      <c r="N569" s="83">
        <f>J569*(H569*'Externe blootstelling'!$D$23/2)^K569+L569*(TANH(((H569*'Externe blootstelling'!$D$23)/(2*M569))-2)-TANH(-2))/(1-TANH(-2))</f>
        <v>1.8526457116027693</v>
      </c>
      <c r="O569" s="83">
        <f>IF(N569=1,1+(I569-1)*H569*'Externe blootstelling'!$D$23/2,1+(I569-1)*(N569^(H569*'Externe blootstelling'!$D$23/2)-1)/(N569-1))</f>
        <v>17.891402646801613</v>
      </c>
      <c r="P569" s="67">
        <f>G569*EXP(-H569*'Externe blootstelling'!$D$23/2)*O569</f>
        <v>1.89376001919806E-2</v>
      </c>
      <c r="Q569" s="68"/>
    </row>
    <row r="570" spans="1:17" x14ac:dyDescent="0.2">
      <c r="A570" s="217"/>
      <c r="B570" s="64" t="s">
        <v>104</v>
      </c>
      <c r="C570" s="66">
        <v>0.1022</v>
      </c>
      <c r="D570" s="66">
        <f t="shared" si="40"/>
        <v>1.6352000000000001E-14</v>
      </c>
      <c r="E570" s="66">
        <v>7.9999999999999996E-6</v>
      </c>
      <c r="F570" s="66">
        <f>_xlfn.IFNA(INDEX('hp (pSv cm2)'!$B$2:$B$52,MATCH($C570,'hp (pSv cm2)'!$A$2:$A$52,1))+($C570-INDEX('hp (pSv cm2)'!$A$2:$A$52,MATCH($C570,'hp (pSv cm2)'!$A$2:$A$52,1)))*(INDEX('hp (pSv cm2)'!$B$2:$B$52,MATCH($C570,'hp (pSv cm2)'!$A$2:$A$52,1)+1)-INDEX('hp (pSv cm2)'!$B$2:$B$52,MATCH($C570,'hp (pSv cm2)'!$A$2:$A$52,1)))/(INDEX('hp (pSv cm2)'!$A$2:$A$52,MATCH($C570,'hp (pSv cm2)'!$A$2:$A$52,1)+1)-INDEX('hp (pSv cm2)'!$A$2:$A$52,MATCH($C570,'hp (pSv cm2)'!$A$2:$A$52,1))),$C570*'hp (pSv cm2)'!$B$2/'hp (pSv cm2)'!$A$2)</f>
        <v>0.52807599999999999</v>
      </c>
      <c r="G570" s="67">
        <f t="shared" si="41"/>
        <v>4.2246079999999995E-6</v>
      </c>
      <c r="H570" s="83">
        <f>_xlfn.IFNA(0.997*(INDEX('Mass attenuation coefficients'!$B$2:$B$37,MATCH($C570,'Mass attenuation coefficients'!$A$2:$A$37,1))+($C570-INDEX('Mass attenuation coefficients'!$A$2:$A$37,MATCH($C570,'Mass attenuation coefficients'!$A$2:$A$37,1)))*(INDEX('Mass attenuation coefficients'!$B$2:$B$37,MATCH($C570,'Mass attenuation coefficients'!$A$2:$A$37,1)+1)-INDEX('Mass attenuation coefficients'!$B$2:$B$37,MATCH($C570,'Mass attenuation coefficients'!$A$2:$A$37,1)))/(INDEX('Mass attenuation coefficients'!$A$2:$A$37,MATCH($C570,'Mass attenuation coefficients'!$A$2:$A$37,1)+1)-INDEX('Mass attenuation coefficients'!$A$2:$A$37,MATCH($C570,'Mass attenuation coefficients'!$A$2:$A$37,1)))),0.997*$C570*'Mass attenuation coefficients'!$B$2/'Mass attenuation coefficients'!$A$2)</f>
        <v>0.1693017664</v>
      </c>
      <c r="I570" s="83">
        <f>_xlfn.IFNA(INDEX('Shultis Faw'!$C$2:$C$26,MATCH($C570,'Shultis Faw'!$A$2:$A$26,1))+($C570-INDEX('Shultis Faw'!$A$2:$A$26,MATCH($C570,'Shultis Faw'!$A$2:$A$26,1)))*(INDEX('Shultis Faw'!$C$2:$C$26,MATCH($C570,'Shultis Faw'!$A$2:$A$26,1)+1)-INDEX('Shultis Faw'!$C$2:$C$26,MATCH($C570,'Shultis Faw'!$A$2:$A$26,1)))/(INDEX('Shultis Faw'!$A$2:$A$26,MATCH($C570,'Shultis Faw'!$A$2:$A$26,1)+1)-INDEX('Shultis Faw'!$A$2:$A$26,MATCH($C570,'Shultis Faw'!$A$2:$A$26,1))),$C570*'Shultis Faw'!$C$2/'Shultis Faw'!$A$2)</f>
        <v>4.6292960000000001</v>
      </c>
      <c r="J570" s="83">
        <f>_xlfn.IFNA(INDEX('Shultis Faw'!$D$2:$D$26,MATCH($C570,'Shultis Faw'!$A$2:$A$26,1))+($C570-INDEX('Shultis Faw'!$A$2:$A$26,MATCH($C570,'Shultis Faw'!$A$2:$A$26,1)))*(INDEX('Shultis Faw'!$D$2:$D$26,MATCH($C570,'Shultis Faw'!$A$2:$A$26,1)+1)-INDEX('Shultis Faw'!$D$2:$D$26,MATCH($C570,'Shultis Faw'!$A$2:$A$26,1)))/(INDEX('Shultis Faw'!$A$2:$A$26,MATCH($C570,'Shultis Faw'!$A$2:$A$26,1)+1)-INDEX('Shultis Faw'!$A$2:$A$26,MATCH($C570,'Shultis Faw'!$A$2:$A$26,1))),$C570*'Shultis Faw'!$D$2/'Shultis Faw'!$A$2)</f>
        <v>2.221924</v>
      </c>
      <c r="K570" s="83">
        <f>_xlfn.IFNA(INDEX('Shultis Faw'!$B$2:$B$26,MATCH($C570,'Shultis Faw'!$A$2:$A$26,1))+($C570-INDEX('Shultis Faw'!$A$2:$A$26,MATCH($C570,'Shultis Faw'!$A$2:$A$26,1)))*(INDEX('Shultis Faw'!$B$2:$B$26,MATCH($C570,'Shultis Faw'!$A$2:$A$26,1)+1)-INDEX('Shultis Faw'!$B$2:$B$26,MATCH($C570,'Shultis Faw'!$A$2:$A$26,1)))/(INDEX('Shultis Faw'!$A$2:$A$26,MATCH($C570,'Shultis Faw'!$A$2:$A$26,1)+1)-INDEX('Shultis Faw'!$A$2:$A$26,MATCH($C570,'Shultis Faw'!$A$2:$A$26,1))),$C570*'Shultis Faw'!$B$2/'Shultis Faw'!$A$2)</f>
        <v>-0.18595600000000001</v>
      </c>
      <c r="L570" s="83">
        <f>_xlfn.IFNA(INDEX('Shultis Faw'!$E$2:$E$26,MATCH($C570,'Shultis Faw'!$A$2:$A$26,1))+($C570-INDEX('Shultis Faw'!$A$2:$A$26,MATCH($C570,'Shultis Faw'!$A$2:$A$26,1)))*(INDEX('Shultis Faw'!$E$2:$E$26,MATCH($C570,'Shultis Faw'!$A$2:$A$26,1)+1)-INDEX('Shultis Faw'!$E$2:$E$26,MATCH($C570,'Shultis Faw'!$A$2:$A$26,1)))/(INDEX('Shultis Faw'!$A$2:$A$26,MATCH($C570,'Shultis Faw'!$A$2:$A$26,1)+1)-INDEX('Shultis Faw'!$A$2:$A$26,MATCH($C570,'Shultis Faw'!$A$2:$A$26,1))),$C570*'Shultis Faw'!$E$2/'Shultis Faw'!$A$2)</f>
        <v>8.238440000000001E-2</v>
      </c>
      <c r="M570" s="83">
        <f>_xlfn.IFNA(INDEX('Shultis Faw'!$F$2:$F$26,MATCH($C570,'Shultis Faw'!$A$2:$A$26,1))+($C570-INDEX('Shultis Faw'!$A$2:$A$26,MATCH($C570,'Shultis Faw'!$A$2:$A$26,1)))*(INDEX('Shultis Faw'!$F$2:$F$26,MATCH($C570,'Shultis Faw'!$A$2:$A$26,1)+1)-INDEX('Shultis Faw'!$F$2:$F$26,MATCH($C570,'Shultis Faw'!$A$2:$A$26,1)))/(INDEX('Shultis Faw'!$A$2:$A$26,MATCH($C570,'Shultis Faw'!$A$2:$A$26,1)+1)-INDEX('Shultis Faw'!$A$2:$A$26,MATCH($C570,'Shultis Faw'!$A$2:$A$26,1))),$C570*'Shultis Faw'!$F$2/'Shultis Faw'!$A$2)</f>
        <v>13.367839999999999</v>
      </c>
      <c r="N570" s="83">
        <f>J570*(H570*'Externe blootstelling'!$D$23/2)^K570+L570*(TANH(((H570*'Externe blootstelling'!$D$23)/(2*M570))-2)-TANH(-2))/(1-TANH(-2))</f>
        <v>1.8690497255243392</v>
      </c>
      <c r="O570" s="83">
        <f>IF(N570=1,1+(I570-1)*H570*'Externe blootstelling'!$D$23/2,1+(I570-1)*(N570^(H570*'Externe blootstelling'!$D$23/2)-1)/(N570-1))</f>
        <v>17.26784572999907</v>
      </c>
      <c r="P570" s="67">
        <f>G570*EXP(-H570*'Externe blootstelling'!$D$23/2)*O570</f>
        <v>5.7560191916967315E-6</v>
      </c>
      <c r="Q570" s="68"/>
    </row>
    <row r="571" spans="1:17" x14ac:dyDescent="0.2">
      <c r="A571" s="217"/>
      <c r="B571" s="64" t="s">
        <v>104</v>
      </c>
      <c r="C571" s="66">
        <v>0.1032</v>
      </c>
      <c r="D571" s="66">
        <f t="shared" si="40"/>
        <v>1.6512E-14</v>
      </c>
      <c r="E571" s="66">
        <v>6.0000000000000002E-5</v>
      </c>
      <c r="F571" s="66">
        <f>_xlfn.IFNA(INDEX('hp (pSv cm2)'!$B$2:$B$52,MATCH($C571,'hp (pSv cm2)'!$A$2:$A$52,1))+($C571-INDEX('hp (pSv cm2)'!$A$2:$A$52,MATCH($C571,'hp (pSv cm2)'!$A$2:$A$52,1)))*(INDEX('hp (pSv cm2)'!$B$2:$B$52,MATCH($C571,'hp (pSv cm2)'!$A$2:$A$52,1)+1)-INDEX('hp (pSv cm2)'!$B$2:$B$52,MATCH($C571,'hp (pSv cm2)'!$A$2:$A$52,1)))/(INDEX('hp (pSv cm2)'!$A$2:$A$52,MATCH($C571,'hp (pSv cm2)'!$A$2:$A$52,1)+1)-INDEX('hp (pSv cm2)'!$A$2:$A$52,MATCH($C571,'hp (pSv cm2)'!$A$2:$A$52,1))),$C571*'hp (pSv cm2)'!$B$2/'hp (pSv cm2)'!$A$2)</f>
        <v>0.53265600000000002</v>
      </c>
      <c r="G571" s="67">
        <f t="shared" si="41"/>
        <v>3.1959360000000002E-5</v>
      </c>
      <c r="H571" s="83">
        <f>_xlfn.IFNA(0.997*(INDEX('Mass attenuation coefficients'!$B$2:$B$37,MATCH($C571,'Mass attenuation coefficients'!$A$2:$A$37,1))+($C571-INDEX('Mass attenuation coefficients'!$A$2:$A$37,MATCH($C571,'Mass attenuation coefficients'!$A$2:$A$37,1)))*(INDEX('Mass attenuation coefficients'!$B$2:$B$37,MATCH($C571,'Mass attenuation coefficients'!$A$2:$A$37,1)+1)-INDEX('Mass attenuation coefficients'!$B$2:$B$37,MATCH($C571,'Mass attenuation coefficients'!$A$2:$A$37,1)))/(INDEX('Mass attenuation coefficients'!$A$2:$A$37,MATCH($C571,'Mass attenuation coefficients'!$A$2:$A$37,1)+1)-INDEX('Mass attenuation coefficients'!$A$2:$A$37,MATCH($C571,'Mass attenuation coefficients'!$A$2:$A$37,1)))),0.997*$C571*'Mass attenuation coefficients'!$B$2/'Mass attenuation coefficients'!$A$2)</f>
        <v>0.16889897839999998</v>
      </c>
      <c r="I571" s="83">
        <f>_xlfn.IFNA(INDEX('Shultis Faw'!$C$2:$C$26,MATCH($C571,'Shultis Faw'!$A$2:$A$26,1))+($C571-INDEX('Shultis Faw'!$A$2:$A$26,MATCH($C571,'Shultis Faw'!$A$2:$A$26,1)))*(INDEX('Shultis Faw'!$C$2:$C$26,MATCH($C571,'Shultis Faw'!$A$2:$A$26,1)+1)-INDEX('Shultis Faw'!$C$2:$C$26,MATCH($C571,'Shultis Faw'!$A$2:$A$26,1)))/(INDEX('Shultis Faw'!$A$2:$A$26,MATCH($C571,'Shultis Faw'!$A$2:$A$26,1)+1)-INDEX('Shultis Faw'!$A$2:$A$26,MATCH($C571,'Shultis Faw'!$A$2:$A$26,1))),$C571*'Shultis Faw'!$C$2/'Shultis Faw'!$A$2)</f>
        <v>4.6139760000000001</v>
      </c>
      <c r="J571" s="83">
        <f>_xlfn.IFNA(INDEX('Shultis Faw'!$D$2:$D$26,MATCH($C571,'Shultis Faw'!$A$2:$A$26,1))+($C571-INDEX('Shultis Faw'!$A$2:$A$26,MATCH($C571,'Shultis Faw'!$A$2:$A$26,1)))*(INDEX('Shultis Faw'!$D$2:$D$26,MATCH($C571,'Shultis Faw'!$A$2:$A$26,1)+1)-INDEX('Shultis Faw'!$D$2:$D$26,MATCH($C571,'Shultis Faw'!$A$2:$A$26,1)))/(INDEX('Shultis Faw'!$A$2:$A$26,MATCH($C571,'Shultis Faw'!$A$2:$A$26,1)+1)-INDEX('Shultis Faw'!$A$2:$A$26,MATCH($C571,'Shultis Faw'!$A$2:$A$26,1))),$C571*'Shultis Faw'!$D$2/'Shultis Faw'!$A$2)</f>
        <v>2.2223440000000001</v>
      </c>
      <c r="K571" s="83">
        <f>_xlfn.IFNA(INDEX('Shultis Faw'!$B$2:$B$26,MATCH($C571,'Shultis Faw'!$A$2:$A$26,1))+($C571-INDEX('Shultis Faw'!$A$2:$A$26,MATCH($C571,'Shultis Faw'!$A$2:$A$26,1)))*(INDEX('Shultis Faw'!$B$2:$B$26,MATCH($C571,'Shultis Faw'!$A$2:$A$26,1)+1)-INDEX('Shultis Faw'!$B$2:$B$26,MATCH($C571,'Shultis Faw'!$A$2:$A$26,1)))/(INDEX('Shultis Faw'!$A$2:$A$26,MATCH($C571,'Shultis Faw'!$A$2:$A$26,1)+1)-INDEX('Shultis Faw'!$A$2:$A$26,MATCH($C571,'Shultis Faw'!$A$2:$A$26,1))),$C571*'Shultis Faw'!$B$2/'Shultis Faw'!$A$2)</f>
        <v>-0.18593599999999999</v>
      </c>
      <c r="L571" s="83">
        <f>_xlfn.IFNA(INDEX('Shultis Faw'!$E$2:$E$26,MATCH($C571,'Shultis Faw'!$A$2:$A$26,1))+($C571-INDEX('Shultis Faw'!$A$2:$A$26,MATCH($C571,'Shultis Faw'!$A$2:$A$26,1)))*(INDEX('Shultis Faw'!$E$2:$E$26,MATCH($C571,'Shultis Faw'!$A$2:$A$26,1)+1)-INDEX('Shultis Faw'!$E$2:$E$26,MATCH($C571,'Shultis Faw'!$A$2:$A$26,1)))/(INDEX('Shultis Faw'!$A$2:$A$26,MATCH($C571,'Shultis Faw'!$A$2:$A$26,1)+1)-INDEX('Shultis Faw'!$A$2:$A$26,MATCH($C571,'Shultis Faw'!$A$2:$A$26,1))),$C571*'Shultis Faw'!$E$2/'Shultis Faw'!$A$2)</f>
        <v>8.228640000000001E-2</v>
      </c>
      <c r="M571" s="83">
        <f>_xlfn.IFNA(INDEX('Shultis Faw'!$F$2:$F$26,MATCH($C571,'Shultis Faw'!$A$2:$A$26,1))+($C571-INDEX('Shultis Faw'!$A$2:$A$26,MATCH($C571,'Shultis Faw'!$A$2:$A$26,1)))*(INDEX('Shultis Faw'!$F$2:$F$26,MATCH($C571,'Shultis Faw'!$A$2:$A$26,1)+1)-INDEX('Shultis Faw'!$F$2:$F$26,MATCH($C571,'Shultis Faw'!$A$2:$A$26,1)))/(INDEX('Shultis Faw'!$A$2:$A$26,MATCH($C571,'Shultis Faw'!$A$2:$A$26,1)+1)-INDEX('Shultis Faw'!$A$2:$A$26,MATCH($C571,'Shultis Faw'!$A$2:$A$26,1))),$C571*'Shultis Faw'!$F$2/'Shultis Faw'!$A$2)</f>
        <v>13.38504</v>
      </c>
      <c r="N571" s="83">
        <f>J571*(H571*'Externe blootstelling'!$D$23/2)^K571+L571*(TANH(((H571*'Externe blootstelling'!$D$23)/(2*M571))-2)-TANH(-2))/(1-TANH(-2))</f>
        <v>1.8702617978851814</v>
      </c>
      <c r="O571" s="83">
        <f>IF(N571=1,1+(I571-1)*H571*'Externe blootstelling'!$D$23/2,1+(I571-1)*(N571^(H571*'Externe blootstelling'!$D$23/2)-1)/(N571-1))</f>
        <v>17.133230631819689</v>
      </c>
      <c r="P571" s="67">
        <f>G571*EXP(-H571*'Externe blootstelling'!$D$23/2)*O571</f>
        <v>4.3466925223039276E-5</v>
      </c>
      <c r="Q571" s="68"/>
    </row>
    <row r="572" spans="1:17" x14ac:dyDescent="0.2">
      <c r="A572" s="217"/>
      <c r="B572" s="64" t="s">
        <v>104</v>
      </c>
      <c r="C572" s="66">
        <v>0.10404000000000001</v>
      </c>
      <c r="D572" s="66">
        <f t="shared" si="40"/>
        <v>1.6646400000000002E-14</v>
      </c>
      <c r="E572" s="66">
        <v>1.94E-4</v>
      </c>
      <c r="F572" s="66">
        <f>_xlfn.IFNA(INDEX('hp (pSv cm2)'!$B$2:$B$52,MATCH($C572,'hp (pSv cm2)'!$A$2:$A$52,1))+($C572-INDEX('hp (pSv cm2)'!$A$2:$A$52,MATCH($C572,'hp (pSv cm2)'!$A$2:$A$52,1)))*(INDEX('hp (pSv cm2)'!$B$2:$B$52,MATCH($C572,'hp (pSv cm2)'!$A$2:$A$52,1)+1)-INDEX('hp (pSv cm2)'!$B$2:$B$52,MATCH($C572,'hp (pSv cm2)'!$A$2:$A$52,1)))/(INDEX('hp (pSv cm2)'!$A$2:$A$52,MATCH($C572,'hp (pSv cm2)'!$A$2:$A$52,1)+1)-INDEX('hp (pSv cm2)'!$A$2:$A$52,MATCH($C572,'hp (pSv cm2)'!$A$2:$A$52,1))),$C572*'hp (pSv cm2)'!$B$2/'hp (pSv cm2)'!$A$2)</f>
        <v>0.53650320000000007</v>
      </c>
      <c r="G572" s="67">
        <f t="shared" si="41"/>
        <v>1.0408162080000001E-4</v>
      </c>
      <c r="H572" s="83">
        <f>_xlfn.IFNA(0.997*(INDEX('Mass attenuation coefficients'!$B$2:$B$37,MATCH($C572,'Mass attenuation coefficients'!$A$2:$A$37,1))+($C572-INDEX('Mass attenuation coefficients'!$A$2:$A$37,MATCH($C572,'Mass attenuation coefficients'!$A$2:$A$37,1)))*(INDEX('Mass attenuation coefficients'!$B$2:$B$37,MATCH($C572,'Mass attenuation coefficients'!$A$2:$A$37,1)+1)-INDEX('Mass attenuation coefficients'!$B$2:$B$37,MATCH($C572,'Mass attenuation coefficients'!$A$2:$A$37,1)))/(INDEX('Mass attenuation coefficients'!$A$2:$A$37,MATCH($C572,'Mass attenuation coefficients'!$A$2:$A$37,1)+1)-INDEX('Mass attenuation coefficients'!$A$2:$A$37,MATCH($C572,'Mass attenuation coefficients'!$A$2:$A$37,1)))),0.997*$C572*'Mass attenuation coefficients'!$B$2/'Mass attenuation coefficients'!$A$2)</f>
        <v>0.16856063648</v>
      </c>
      <c r="I572" s="83">
        <f>_xlfn.IFNA(INDEX('Shultis Faw'!$C$2:$C$26,MATCH($C572,'Shultis Faw'!$A$2:$A$26,1))+($C572-INDEX('Shultis Faw'!$A$2:$A$26,MATCH($C572,'Shultis Faw'!$A$2:$A$26,1)))*(INDEX('Shultis Faw'!$C$2:$C$26,MATCH($C572,'Shultis Faw'!$A$2:$A$26,1)+1)-INDEX('Shultis Faw'!$C$2:$C$26,MATCH($C572,'Shultis Faw'!$A$2:$A$26,1)))/(INDEX('Shultis Faw'!$A$2:$A$26,MATCH($C572,'Shultis Faw'!$A$2:$A$26,1)+1)-INDEX('Shultis Faw'!$A$2:$A$26,MATCH($C572,'Shultis Faw'!$A$2:$A$26,1))),$C572*'Shultis Faw'!$C$2/'Shultis Faw'!$A$2)</f>
        <v>4.6011072000000004</v>
      </c>
      <c r="J572" s="83">
        <f>_xlfn.IFNA(INDEX('Shultis Faw'!$D$2:$D$26,MATCH($C572,'Shultis Faw'!$A$2:$A$26,1))+($C572-INDEX('Shultis Faw'!$A$2:$A$26,MATCH($C572,'Shultis Faw'!$A$2:$A$26,1)))*(INDEX('Shultis Faw'!$D$2:$D$26,MATCH($C572,'Shultis Faw'!$A$2:$A$26,1)+1)-INDEX('Shultis Faw'!$D$2:$D$26,MATCH($C572,'Shultis Faw'!$A$2:$A$26,1)))/(INDEX('Shultis Faw'!$A$2:$A$26,MATCH($C572,'Shultis Faw'!$A$2:$A$26,1)+1)-INDEX('Shultis Faw'!$A$2:$A$26,MATCH($C572,'Shultis Faw'!$A$2:$A$26,1))),$C572*'Shultis Faw'!$D$2/'Shultis Faw'!$A$2)</f>
        <v>2.2226968</v>
      </c>
      <c r="K572" s="83">
        <f>_xlfn.IFNA(INDEX('Shultis Faw'!$B$2:$B$26,MATCH($C572,'Shultis Faw'!$A$2:$A$26,1))+($C572-INDEX('Shultis Faw'!$A$2:$A$26,MATCH($C572,'Shultis Faw'!$A$2:$A$26,1)))*(INDEX('Shultis Faw'!$B$2:$B$26,MATCH($C572,'Shultis Faw'!$A$2:$A$26,1)+1)-INDEX('Shultis Faw'!$B$2:$B$26,MATCH($C572,'Shultis Faw'!$A$2:$A$26,1)))/(INDEX('Shultis Faw'!$A$2:$A$26,MATCH($C572,'Shultis Faw'!$A$2:$A$26,1)+1)-INDEX('Shultis Faw'!$A$2:$A$26,MATCH($C572,'Shultis Faw'!$A$2:$A$26,1))),$C572*'Shultis Faw'!$B$2/'Shultis Faw'!$A$2)</f>
        <v>-0.18591920000000001</v>
      </c>
      <c r="L572" s="83">
        <f>_xlfn.IFNA(INDEX('Shultis Faw'!$E$2:$E$26,MATCH($C572,'Shultis Faw'!$A$2:$A$26,1))+($C572-INDEX('Shultis Faw'!$A$2:$A$26,MATCH($C572,'Shultis Faw'!$A$2:$A$26,1)))*(INDEX('Shultis Faw'!$E$2:$E$26,MATCH($C572,'Shultis Faw'!$A$2:$A$26,1)+1)-INDEX('Shultis Faw'!$E$2:$E$26,MATCH($C572,'Shultis Faw'!$A$2:$A$26,1)))/(INDEX('Shultis Faw'!$A$2:$A$26,MATCH($C572,'Shultis Faw'!$A$2:$A$26,1)+1)-INDEX('Shultis Faw'!$A$2:$A$26,MATCH($C572,'Shultis Faw'!$A$2:$A$26,1))),$C572*'Shultis Faw'!$E$2/'Shultis Faw'!$A$2)</f>
        <v>8.2204080000000013E-2</v>
      </c>
      <c r="M572" s="83">
        <f>_xlfn.IFNA(INDEX('Shultis Faw'!$F$2:$F$26,MATCH($C572,'Shultis Faw'!$A$2:$A$26,1))+($C572-INDEX('Shultis Faw'!$A$2:$A$26,MATCH($C572,'Shultis Faw'!$A$2:$A$26,1)))*(INDEX('Shultis Faw'!$F$2:$F$26,MATCH($C572,'Shultis Faw'!$A$2:$A$26,1)+1)-INDEX('Shultis Faw'!$F$2:$F$26,MATCH($C572,'Shultis Faw'!$A$2:$A$26,1)))/(INDEX('Shultis Faw'!$A$2:$A$26,MATCH($C572,'Shultis Faw'!$A$2:$A$26,1)+1)-INDEX('Shultis Faw'!$A$2:$A$26,MATCH($C572,'Shultis Faw'!$A$2:$A$26,1))),$C572*'Shultis Faw'!$F$2/'Shultis Faw'!$A$2)</f>
        <v>13.399488</v>
      </c>
      <c r="N572" s="83">
        <f>J572*(H572*'Externe blootstelling'!$D$23/2)^K572+L572*(TANH(((H572*'Externe blootstelling'!$D$23)/(2*M572))-2)-TANH(-2))/(1-TANH(-2))</f>
        <v>1.871281903176196</v>
      </c>
      <c r="O572" s="83">
        <f>IF(N572=1,1+(I572-1)*H572*'Externe blootstelling'!$D$23/2,1+(I572-1)*(N572^(H572*'Externe blootstelling'!$D$23/2)-1)/(N572-1))</f>
        <v>17.020677347330878</v>
      </c>
      <c r="P572" s="67">
        <f>G572*EXP(-H572*'Externe blootstelling'!$D$23/2)*O572</f>
        <v>1.4134373760911939E-4</v>
      </c>
      <c r="Q572" s="68"/>
    </row>
    <row r="573" spans="1:17" x14ac:dyDescent="0.2">
      <c r="A573" s="217"/>
      <c r="B573" s="64" t="s">
        <v>104</v>
      </c>
      <c r="C573" s="66">
        <v>0.10678</v>
      </c>
      <c r="D573" s="66">
        <f t="shared" si="40"/>
        <v>1.7084799999999999E-14</v>
      </c>
      <c r="E573" s="66">
        <v>2.3300000000000003E-4</v>
      </c>
      <c r="F573" s="66">
        <f>_xlfn.IFNA(INDEX('hp (pSv cm2)'!$B$2:$B$52,MATCH($C573,'hp (pSv cm2)'!$A$2:$A$52,1))+($C573-INDEX('hp (pSv cm2)'!$A$2:$A$52,MATCH($C573,'hp (pSv cm2)'!$A$2:$A$52,1)))*(INDEX('hp (pSv cm2)'!$B$2:$B$52,MATCH($C573,'hp (pSv cm2)'!$A$2:$A$52,1)+1)-INDEX('hp (pSv cm2)'!$B$2:$B$52,MATCH($C573,'hp (pSv cm2)'!$A$2:$A$52,1)))/(INDEX('hp (pSv cm2)'!$A$2:$A$52,MATCH($C573,'hp (pSv cm2)'!$A$2:$A$52,1)+1)-INDEX('hp (pSv cm2)'!$A$2:$A$52,MATCH($C573,'hp (pSv cm2)'!$A$2:$A$52,1))),$C573*'hp (pSv cm2)'!$B$2/'hp (pSv cm2)'!$A$2)</f>
        <v>0.5490524</v>
      </c>
      <c r="G573" s="67">
        <f t="shared" si="41"/>
        <v>1.279292092E-4</v>
      </c>
      <c r="H573" s="83">
        <f>_xlfn.IFNA(0.997*(INDEX('Mass attenuation coefficients'!$B$2:$B$37,MATCH($C573,'Mass attenuation coefficients'!$A$2:$A$37,1))+($C573-INDEX('Mass attenuation coefficients'!$A$2:$A$37,MATCH($C573,'Mass attenuation coefficients'!$A$2:$A$37,1)))*(INDEX('Mass attenuation coefficients'!$B$2:$B$37,MATCH($C573,'Mass attenuation coefficients'!$A$2:$A$37,1)+1)-INDEX('Mass attenuation coefficients'!$B$2:$B$37,MATCH($C573,'Mass attenuation coefficients'!$A$2:$A$37,1)))/(INDEX('Mass attenuation coefficients'!$A$2:$A$37,MATCH($C573,'Mass attenuation coefficients'!$A$2:$A$37,1)+1)-INDEX('Mass attenuation coefficients'!$A$2:$A$37,MATCH($C573,'Mass attenuation coefficients'!$A$2:$A$37,1)))),0.997*$C573*'Mass attenuation coefficients'!$B$2/'Mass attenuation coefficients'!$A$2)</f>
        <v>0.16745699735999997</v>
      </c>
      <c r="I573" s="83">
        <f>_xlfn.IFNA(INDEX('Shultis Faw'!$C$2:$C$26,MATCH($C573,'Shultis Faw'!$A$2:$A$26,1))+($C573-INDEX('Shultis Faw'!$A$2:$A$26,MATCH($C573,'Shultis Faw'!$A$2:$A$26,1)))*(INDEX('Shultis Faw'!$C$2:$C$26,MATCH($C573,'Shultis Faw'!$A$2:$A$26,1)+1)-INDEX('Shultis Faw'!$C$2:$C$26,MATCH($C573,'Shultis Faw'!$A$2:$A$26,1)))/(INDEX('Shultis Faw'!$A$2:$A$26,MATCH($C573,'Shultis Faw'!$A$2:$A$26,1)+1)-INDEX('Shultis Faw'!$A$2:$A$26,MATCH($C573,'Shultis Faw'!$A$2:$A$26,1))),$C573*'Shultis Faw'!$C$2/'Shultis Faw'!$A$2)</f>
        <v>4.5591303999999999</v>
      </c>
      <c r="J573" s="83">
        <f>_xlfn.IFNA(INDEX('Shultis Faw'!$D$2:$D$26,MATCH($C573,'Shultis Faw'!$A$2:$A$26,1))+($C573-INDEX('Shultis Faw'!$A$2:$A$26,MATCH($C573,'Shultis Faw'!$A$2:$A$26,1)))*(INDEX('Shultis Faw'!$D$2:$D$26,MATCH($C573,'Shultis Faw'!$A$2:$A$26,1)+1)-INDEX('Shultis Faw'!$D$2:$D$26,MATCH($C573,'Shultis Faw'!$A$2:$A$26,1)))/(INDEX('Shultis Faw'!$A$2:$A$26,MATCH($C573,'Shultis Faw'!$A$2:$A$26,1)+1)-INDEX('Shultis Faw'!$A$2:$A$26,MATCH($C573,'Shultis Faw'!$A$2:$A$26,1))),$C573*'Shultis Faw'!$D$2/'Shultis Faw'!$A$2)</f>
        <v>2.2238476</v>
      </c>
      <c r="K573" s="83">
        <f>_xlfn.IFNA(INDEX('Shultis Faw'!$B$2:$B$26,MATCH($C573,'Shultis Faw'!$A$2:$A$26,1))+($C573-INDEX('Shultis Faw'!$A$2:$A$26,MATCH($C573,'Shultis Faw'!$A$2:$A$26,1)))*(INDEX('Shultis Faw'!$B$2:$B$26,MATCH($C573,'Shultis Faw'!$A$2:$A$26,1)+1)-INDEX('Shultis Faw'!$B$2:$B$26,MATCH($C573,'Shultis Faw'!$A$2:$A$26,1)))/(INDEX('Shultis Faw'!$A$2:$A$26,MATCH($C573,'Shultis Faw'!$A$2:$A$26,1)+1)-INDEX('Shultis Faw'!$A$2:$A$26,MATCH($C573,'Shultis Faw'!$A$2:$A$26,1))),$C573*'Shultis Faw'!$B$2/'Shultis Faw'!$A$2)</f>
        <v>-0.18586439999999999</v>
      </c>
      <c r="L573" s="83">
        <f>_xlfn.IFNA(INDEX('Shultis Faw'!$E$2:$E$26,MATCH($C573,'Shultis Faw'!$A$2:$A$26,1))+($C573-INDEX('Shultis Faw'!$A$2:$A$26,MATCH($C573,'Shultis Faw'!$A$2:$A$26,1)))*(INDEX('Shultis Faw'!$E$2:$E$26,MATCH($C573,'Shultis Faw'!$A$2:$A$26,1)+1)-INDEX('Shultis Faw'!$E$2:$E$26,MATCH($C573,'Shultis Faw'!$A$2:$A$26,1)))/(INDEX('Shultis Faw'!$A$2:$A$26,MATCH($C573,'Shultis Faw'!$A$2:$A$26,1)+1)-INDEX('Shultis Faw'!$A$2:$A$26,MATCH($C573,'Shultis Faw'!$A$2:$A$26,1))),$C573*'Shultis Faw'!$E$2/'Shultis Faw'!$A$2)</f>
        <v>8.1935560000000004E-2</v>
      </c>
      <c r="M573" s="83">
        <f>_xlfn.IFNA(INDEX('Shultis Faw'!$F$2:$F$26,MATCH($C573,'Shultis Faw'!$A$2:$A$26,1))+($C573-INDEX('Shultis Faw'!$A$2:$A$26,MATCH($C573,'Shultis Faw'!$A$2:$A$26,1)))*(INDEX('Shultis Faw'!$F$2:$F$26,MATCH($C573,'Shultis Faw'!$A$2:$A$26,1)+1)-INDEX('Shultis Faw'!$F$2:$F$26,MATCH($C573,'Shultis Faw'!$A$2:$A$26,1)))/(INDEX('Shultis Faw'!$A$2:$A$26,MATCH($C573,'Shultis Faw'!$A$2:$A$26,1)+1)-INDEX('Shultis Faw'!$A$2:$A$26,MATCH($C573,'Shultis Faw'!$A$2:$A$26,1))),$C573*'Shultis Faw'!$F$2/'Shultis Faw'!$A$2)</f>
        <v>13.446616000000001</v>
      </c>
      <c r="N573" s="83">
        <f>J573*(H573*'Externe blootstelling'!$D$23/2)^K573+L573*(TANH(((H573*'Externe blootstelling'!$D$23)/(2*M573))-2)-TANH(-2))/(1-TANH(-2))</f>
        <v>1.8746219523372247</v>
      </c>
      <c r="O573" s="83">
        <f>IF(N573=1,1+(I573-1)*H573*'Externe blootstelling'!$D$23/2,1+(I573-1)*(N573^(H573*'Externe blootstelling'!$D$23/2)-1)/(N573-1))</f>
        <v>16.656851578474381</v>
      </c>
      <c r="P573" s="67">
        <f>G573*EXP(-H573*'Externe blootstelling'!$D$23/2)*O573</f>
        <v>1.728533825403403E-4</v>
      </c>
      <c r="Q573" s="68"/>
    </row>
    <row r="574" spans="1:17" x14ac:dyDescent="0.2">
      <c r="A574" s="217"/>
      <c r="B574" s="64" t="s">
        <v>104</v>
      </c>
      <c r="C574" s="66">
        <v>0.1085</v>
      </c>
      <c r="D574" s="66">
        <f t="shared" si="40"/>
        <v>1.7359999999999998E-14</v>
      </c>
      <c r="E574" s="66">
        <v>6.0000000000000002E-5</v>
      </c>
      <c r="F574" s="66">
        <f>_xlfn.IFNA(INDEX('hp (pSv cm2)'!$B$2:$B$52,MATCH($C574,'hp (pSv cm2)'!$A$2:$A$52,1))+($C574-INDEX('hp (pSv cm2)'!$A$2:$A$52,MATCH($C574,'hp (pSv cm2)'!$A$2:$A$52,1)))*(INDEX('hp (pSv cm2)'!$B$2:$B$52,MATCH($C574,'hp (pSv cm2)'!$A$2:$A$52,1)+1)-INDEX('hp (pSv cm2)'!$B$2:$B$52,MATCH($C574,'hp (pSv cm2)'!$A$2:$A$52,1)))/(INDEX('hp (pSv cm2)'!$A$2:$A$52,MATCH($C574,'hp (pSv cm2)'!$A$2:$A$52,1)+1)-INDEX('hp (pSv cm2)'!$A$2:$A$52,MATCH($C574,'hp (pSv cm2)'!$A$2:$A$52,1))),$C574*'hp (pSv cm2)'!$B$2/'hp (pSv cm2)'!$A$2)</f>
        <v>0.55693000000000004</v>
      </c>
      <c r="G574" s="67">
        <f t="shared" si="41"/>
        <v>3.3415800000000006E-5</v>
      </c>
      <c r="H574" s="83">
        <f>_xlfn.IFNA(0.997*(INDEX('Mass attenuation coefficients'!$B$2:$B$37,MATCH($C574,'Mass attenuation coefficients'!$A$2:$A$37,1))+($C574-INDEX('Mass attenuation coefficients'!$A$2:$A$37,MATCH($C574,'Mass attenuation coefficients'!$A$2:$A$37,1)))*(INDEX('Mass attenuation coefficients'!$B$2:$B$37,MATCH($C574,'Mass attenuation coefficients'!$A$2:$A$37,1)+1)-INDEX('Mass attenuation coefficients'!$B$2:$B$37,MATCH($C574,'Mass attenuation coefficients'!$A$2:$A$37,1)))/(INDEX('Mass attenuation coefficients'!$A$2:$A$37,MATCH($C574,'Mass attenuation coefficients'!$A$2:$A$37,1)+1)-INDEX('Mass attenuation coefficients'!$A$2:$A$37,MATCH($C574,'Mass attenuation coefficients'!$A$2:$A$37,1)))),0.997*$C574*'Mass attenuation coefficients'!$B$2/'Mass attenuation coefficients'!$A$2)</f>
        <v>0.166764202</v>
      </c>
      <c r="I574" s="83">
        <f>_xlfn.IFNA(INDEX('Shultis Faw'!$C$2:$C$26,MATCH($C574,'Shultis Faw'!$A$2:$A$26,1))+($C574-INDEX('Shultis Faw'!$A$2:$A$26,MATCH($C574,'Shultis Faw'!$A$2:$A$26,1)))*(INDEX('Shultis Faw'!$C$2:$C$26,MATCH($C574,'Shultis Faw'!$A$2:$A$26,1)+1)-INDEX('Shultis Faw'!$C$2:$C$26,MATCH($C574,'Shultis Faw'!$A$2:$A$26,1)))/(INDEX('Shultis Faw'!$A$2:$A$26,MATCH($C574,'Shultis Faw'!$A$2:$A$26,1)+1)-INDEX('Shultis Faw'!$A$2:$A$26,MATCH($C574,'Shultis Faw'!$A$2:$A$26,1))),$C574*'Shultis Faw'!$C$2/'Shultis Faw'!$A$2)</f>
        <v>4.5327799999999998</v>
      </c>
      <c r="J574" s="83">
        <f>_xlfn.IFNA(INDEX('Shultis Faw'!$D$2:$D$26,MATCH($C574,'Shultis Faw'!$A$2:$A$26,1))+($C574-INDEX('Shultis Faw'!$A$2:$A$26,MATCH($C574,'Shultis Faw'!$A$2:$A$26,1)))*(INDEX('Shultis Faw'!$D$2:$D$26,MATCH($C574,'Shultis Faw'!$A$2:$A$26,1)+1)-INDEX('Shultis Faw'!$D$2:$D$26,MATCH($C574,'Shultis Faw'!$A$2:$A$26,1)))/(INDEX('Shultis Faw'!$A$2:$A$26,MATCH($C574,'Shultis Faw'!$A$2:$A$26,1)+1)-INDEX('Shultis Faw'!$A$2:$A$26,MATCH($C574,'Shultis Faw'!$A$2:$A$26,1))),$C574*'Shultis Faw'!$D$2/'Shultis Faw'!$A$2)</f>
        <v>2.2245699999999999</v>
      </c>
      <c r="K574" s="83">
        <f>_xlfn.IFNA(INDEX('Shultis Faw'!$B$2:$B$26,MATCH($C574,'Shultis Faw'!$A$2:$A$26,1))+($C574-INDEX('Shultis Faw'!$A$2:$A$26,MATCH($C574,'Shultis Faw'!$A$2:$A$26,1)))*(INDEX('Shultis Faw'!$B$2:$B$26,MATCH($C574,'Shultis Faw'!$A$2:$A$26,1)+1)-INDEX('Shultis Faw'!$B$2:$B$26,MATCH($C574,'Shultis Faw'!$A$2:$A$26,1)))/(INDEX('Shultis Faw'!$A$2:$A$26,MATCH($C574,'Shultis Faw'!$A$2:$A$26,1)+1)-INDEX('Shultis Faw'!$A$2:$A$26,MATCH($C574,'Shultis Faw'!$A$2:$A$26,1))),$C574*'Shultis Faw'!$B$2/'Shultis Faw'!$A$2)</f>
        <v>-0.18583</v>
      </c>
      <c r="L574" s="83">
        <f>_xlfn.IFNA(INDEX('Shultis Faw'!$E$2:$E$26,MATCH($C574,'Shultis Faw'!$A$2:$A$26,1))+($C574-INDEX('Shultis Faw'!$A$2:$A$26,MATCH($C574,'Shultis Faw'!$A$2:$A$26,1)))*(INDEX('Shultis Faw'!$E$2:$E$26,MATCH($C574,'Shultis Faw'!$A$2:$A$26,1)+1)-INDEX('Shultis Faw'!$E$2:$E$26,MATCH($C574,'Shultis Faw'!$A$2:$A$26,1)))/(INDEX('Shultis Faw'!$A$2:$A$26,MATCH($C574,'Shultis Faw'!$A$2:$A$26,1)+1)-INDEX('Shultis Faw'!$A$2:$A$26,MATCH($C574,'Shultis Faw'!$A$2:$A$26,1))),$C574*'Shultis Faw'!$E$2/'Shultis Faw'!$A$2)</f>
        <v>8.1767000000000006E-2</v>
      </c>
      <c r="M574" s="83">
        <f>_xlfn.IFNA(INDEX('Shultis Faw'!$F$2:$F$26,MATCH($C574,'Shultis Faw'!$A$2:$A$26,1))+($C574-INDEX('Shultis Faw'!$A$2:$A$26,MATCH($C574,'Shultis Faw'!$A$2:$A$26,1)))*(INDEX('Shultis Faw'!$F$2:$F$26,MATCH($C574,'Shultis Faw'!$A$2:$A$26,1)+1)-INDEX('Shultis Faw'!$F$2:$F$26,MATCH($C574,'Shultis Faw'!$A$2:$A$26,1)))/(INDEX('Shultis Faw'!$A$2:$A$26,MATCH($C574,'Shultis Faw'!$A$2:$A$26,1)+1)-INDEX('Shultis Faw'!$A$2:$A$26,MATCH($C574,'Shultis Faw'!$A$2:$A$26,1))),$C574*'Shultis Faw'!$F$2/'Shultis Faw'!$A$2)</f>
        <v>13.4762</v>
      </c>
      <c r="N574" s="83">
        <f>J574*(H574*'Externe blootstelling'!$D$23/2)^K574+L574*(TANH(((H574*'Externe blootstelling'!$D$23)/(2*M574))-2)-TANH(-2))/(1-TANH(-2))</f>
        <v>1.8767285372660119</v>
      </c>
      <c r="O574" s="83">
        <f>IF(N574=1,1+(I574-1)*H574*'Externe blootstelling'!$D$23/2,1+(I574-1)*(N574^(H574*'Externe blootstelling'!$D$23/2)-1)/(N574-1))</f>
        <v>16.431046370515691</v>
      </c>
      <c r="P574" s="67">
        <f>G574*EXP(-H574*'Externe blootstelling'!$D$23/2)*O574</f>
        <v>4.5003417378071194E-5</v>
      </c>
      <c r="Q574" s="68"/>
    </row>
    <row r="575" spans="1:17" x14ac:dyDescent="0.2">
      <c r="A575" s="217"/>
      <c r="B575" s="64" t="s">
        <v>104</v>
      </c>
      <c r="C575" s="66">
        <v>0.110856</v>
      </c>
      <c r="D575" s="66">
        <f t="shared" si="40"/>
        <v>1.773696E-14</v>
      </c>
      <c r="E575" s="66">
        <v>5.8E-4</v>
      </c>
      <c r="F575" s="66">
        <f>_xlfn.IFNA(INDEX('hp (pSv cm2)'!$B$2:$B$52,MATCH($C575,'hp (pSv cm2)'!$A$2:$A$52,1))+($C575-INDEX('hp (pSv cm2)'!$A$2:$A$52,MATCH($C575,'hp (pSv cm2)'!$A$2:$A$52,1)))*(INDEX('hp (pSv cm2)'!$B$2:$B$52,MATCH($C575,'hp (pSv cm2)'!$A$2:$A$52,1)+1)-INDEX('hp (pSv cm2)'!$B$2:$B$52,MATCH($C575,'hp (pSv cm2)'!$A$2:$A$52,1)))/(INDEX('hp (pSv cm2)'!$A$2:$A$52,MATCH($C575,'hp (pSv cm2)'!$A$2:$A$52,1)+1)-INDEX('hp (pSv cm2)'!$A$2:$A$52,MATCH($C575,'hp (pSv cm2)'!$A$2:$A$52,1))),$C575*'hp (pSv cm2)'!$B$2/'hp (pSv cm2)'!$A$2)</f>
        <v>0.56772047999999997</v>
      </c>
      <c r="G575" s="67">
        <f t="shared" si="41"/>
        <v>3.2927787839999998E-4</v>
      </c>
      <c r="H575" s="83">
        <f>_xlfn.IFNA(0.997*(INDEX('Mass attenuation coefficients'!$B$2:$B$37,MATCH($C575,'Mass attenuation coefficients'!$A$2:$A$37,1))+($C575-INDEX('Mass attenuation coefficients'!$A$2:$A$37,MATCH($C575,'Mass attenuation coefficients'!$A$2:$A$37,1)))*(INDEX('Mass attenuation coefficients'!$B$2:$B$37,MATCH($C575,'Mass attenuation coefficients'!$A$2:$A$37,1)+1)-INDEX('Mass attenuation coefficients'!$B$2:$B$37,MATCH($C575,'Mass attenuation coefficients'!$A$2:$A$37,1)))/(INDEX('Mass attenuation coefficients'!$A$2:$A$37,MATCH($C575,'Mass attenuation coefficients'!$A$2:$A$37,1)+1)-INDEX('Mass attenuation coefficients'!$A$2:$A$37,MATCH($C575,'Mass attenuation coefficients'!$A$2:$A$37,1)))),0.997*$C575*'Mass attenuation coefficients'!$B$2/'Mass attenuation coefficients'!$A$2)</f>
        <v>0.165815233472</v>
      </c>
      <c r="I575" s="83">
        <f>_xlfn.IFNA(INDEX('Shultis Faw'!$C$2:$C$26,MATCH($C575,'Shultis Faw'!$A$2:$A$26,1))+($C575-INDEX('Shultis Faw'!$A$2:$A$26,MATCH($C575,'Shultis Faw'!$A$2:$A$26,1)))*(INDEX('Shultis Faw'!$C$2:$C$26,MATCH($C575,'Shultis Faw'!$A$2:$A$26,1)+1)-INDEX('Shultis Faw'!$C$2:$C$26,MATCH($C575,'Shultis Faw'!$A$2:$A$26,1)))/(INDEX('Shultis Faw'!$A$2:$A$26,MATCH($C575,'Shultis Faw'!$A$2:$A$26,1)+1)-INDEX('Shultis Faw'!$A$2:$A$26,MATCH($C575,'Shultis Faw'!$A$2:$A$26,1))),$C575*'Shultis Faw'!$C$2/'Shultis Faw'!$A$2)</f>
        <v>4.4966860799999999</v>
      </c>
      <c r="J575" s="83">
        <f>_xlfn.IFNA(INDEX('Shultis Faw'!$D$2:$D$26,MATCH($C575,'Shultis Faw'!$A$2:$A$26,1))+($C575-INDEX('Shultis Faw'!$A$2:$A$26,MATCH($C575,'Shultis Faw'!$A$2:$A$26,1)))*(INDEX('Shultis Faw'!$D$2:$D$26,MATCH($C575,'Shultis Faw'!$A$2:$A$26,1)+1)-INDEX('Shultis Faw'!$D$2:$D$26,MATCH($C575,'Shultis Faw'!$A$2:$A$26,1)))/(INDEX('Shultis Faw'!$A$2:$A$26,MATCH($C575,'Shultis Faw'!$A$2:$A$26,1)+1)-INDEX('Shultis Faw'!$A$2:$A$26,MATCH($C575,'Shultis Faw'!$A$2:$A$26,1))),$C575*'Shultis Faw'!$D$2/'Shultis Faw'!$A$2)</f>
        <v>2.22555952</v>
      </c>
      <c r="K575" s="83">
        <f>_xlfn.IFNA(INDEX('Shultis Faw'!$B$2:$B$26,MATCH($C575,'Shultis Faw'!$A$2:$A$26,1))+($C575-INDEX('Shultis Faw'!$A$2:$A$26,MATCH($C575,'Shultis Faw'!$A$2:$A$26,1)))*(INDEX('Shultis Faw'!$B$2:$B$26,MATCH($C575,'Shultis Faw'!$A$2:$A$26,1)+1)-INDEX('Shultis Faw'!$B$2:$B$26,MATCH($C575,'Shultis Faw'!$A$2:$A$26,1)))/(INDEX('Shultis Faw'!$A$2:$A$26,MATCH($C575,'Shultis Faw'!$A$2:$A$26,1)+1)-INDEX('Shultis Faw'!$A$2:$A$26,MATCH($C575,'Shultis Faw'!$A$2:$A$26,1))),$C575*'Shultis Faw'!$B$2/'Shultis Faw'!$A$2)</f>
        <v>-0.18578288000000001</v>
      </c>
      <c r="L575" s="83">
        <f>_xlfn.IFNA(INDEX('Shultis Faw'!$E$2:$E$26,MATCH($C575,'Shultis Faw'!$A$2:$A$26,1))+($C575-INDEX('Shultis Faw'!$A$2:$A$26,MATCH($C575,'Shultis Faw'!$A$2:$A$26,1)))*(INDEX('Shultis Faw'!$E$2:$E$26,MATCH($C575,'Shultis Faw'!$A$2:$A$26,1)+1)-INDEX('Shultis Faw'!$E$2:$E$26,MATCH($C575,'Shultis Faw'!$A$2:$A$26,1)))/(INDEX('Shultis Faw'!$A$2:$A$26,MATCH($C575,'Shultis Faw'!$A$2:$A$26,1)+1)-INDEX('Shultis Faw'!$A$2:$A$26,MATCH($C575,'Shultis Faw'!$A$2:$A$26,1))),$C575*'Shultis Faw'!$E$2/'Shultis Faw'!$A$2)</f>
        <v>8.1536112000000008E-2</v>
      </c>
      <c r="M575" s="83">
        <f>_xlfn.IFNA(INDEX('Shultis Faw'!$F$2:$F$26,MATCH($C575,'Shultis Faw'!$A$2:$A$26,1))+($C575-INDEX('Shultis Faw'!$A$2:$A$26,MATCH($C575,'Shultis Faw'!$A$2:$A$26,1)))*(INDEX('Shultis Faw'!$F$2:$F$26,MATCH($C575,'Shultis Faw'!$A$2:$A$26,1)+1)-INDEX('Shultis Faw'!$F$2:$F$26,MATCH($C575,'Shultis Faw'!$A$2:$A$26,1)))/(INDEX('Shultis Faw'!$A$2:$A$26,MATCH($C575,'Shultis Faw'!$A$2:$A$26,1)+1)-INDEX('Shultis Faw'!$A$2:$A$26,MATCH($C575,'Shultis Faw'!$A$2:$A$26,1))),$C575*'Shultis Faw'!$F$2/'Shultis Faw'!$A$2)</f>
        <v>13.516723199999999</v>
      </c>
      <c r="N575" s="83">
        <f>J575*(H575*'Externe blootstelling'!$D$23/2)^K575+L575*(TANH(((H575*'Externe blootstelling'!$D$23)/(2*M575))-2)-TANH(-2))/(1-TANH(-2))</f>
        <v>1.8796266187910187</v>
      </c>
      <c r="O575" s="83">
        <f>IF(N575=1,1+(I575-1)*H575*'Externe blootstelling'!$D$23/2,1+(I575-1)*(N575^(H575*'Externe blootstelling'!$D$23/2)-1)/(N575-1))</f>
        <v>16.124963714351161</v>
      </c>
      <c r="P575" s="67">
        <f>G575*EXP(-H575*'Externe blootstelling'!$D$23/2)*O575</f>
        <v>4.4144000412030027E-4</v>
      </c>
      <c r="Q575" s="68"/>
    </row>
    <row r="576" spans="1:17" x14ac:dyDescent="0.2">
      <c r="A576" s="217"/>
      <c r="B576" s="64" t="s">
        <v>104</v>
      </c>
      <c r="C576" s="66">
        <v>0.1147</v>
      </c>
      <c r="D576" s="66">
        <f t="shared" si="40"/>
        <v>1.8351999999999998E-14</v>
      </c>
      <c r="E576" s="66">
        <v>1E-4</v>
      </c>
      <c r="F576" s="66">
        <f>_xlfn.IFNA(INDEX('hp (pSv cm2)'!$B$2:$B$52,MATCH($C576,'hp (pSv cm2)'!$A$2:$A$52,1))+($C576-INDEX('hp (pSv cm2)'!$A$2:$A$52,MATCH($C576,'hp (pSv cm2)'!$A$2:$A$52,1)))*(INDEX('hp (pSv cm2)'!$B$2:$B$52,MATCH($C576,'hp (pSv cm2)'!$A$2:$A$52,1)+1)-INDEX('hp (pSv cm2)'!$B$2:$B$52,MATCH($C576,'hp (pSv cm2)'!$A$2:$A$52,1)))/(INDEX('hp (pSv cm2)'!$A$2:$A$52,MATCH($C576,'hp (pSv cm2)'!$A$2:$A$52,1)+1)-INDEX('hp (pSv cm2)'!$A$2:$A$52,MATCH($C576,'hp (pSv cm2)'!$A$2:$A$52,1))),$C576*'hp (pSv cm2)'!$B$2/'hp (pSv cm2)'!$A$2)</f>
        <v>0.58532600000000001</v>
      </c>
      <c r="G576" s="67">
        <f t="shared" si="41"/>
        <v>5.8532600000000003E-5</v>
      </c>
      <c r="H576" s="83">
        <f>_xlfn.IFNA(0.997*(INDEX('Mass attenuation coefficients'!$B$2:$B$37,MATCH($C576,'Mass attenuation coefficients'!$A$2:$A$37,1))+($C576-INDEX('Mass attenuation coefficients'!$A$2:$A$37,MATCH($C576,'Mass attenuation coefficients'!$A$2:$A$37,1)))*(INDEX('Mass attenuation coefficients'!$B$2:$B$37,MATCH($C576,'Mass attenuation coefficients'!$A$2:$A$37,1)+1)-INDEX('Mass attenuation coefficients'!$B$2:$B$37,MATCH($C576,'Mass attenuation coefficients'!$A$2:$A$37,1)))/(INDEX('Mass attenuation coefficients'!$A$2:$A$37,MATCH($C576,'Mass attenuation coefficients'!$A$2:$A$37,1)+1)-INDEX('Mass attenuation coefficients'!$A$2:$A$37,MATCH($C576,'Mass attenuation coefficients'!$A$2:$A$37,1)))),0.997*$C576*'Mass attenuation coefficients'!$B$2/'Mass attenuation coefficients'!$A$2)</f>
        <v>0.16426691639999999</v>
      </c>
      <c r="I576" s="83">
        <f>_xlfn.IFNA(INDEX('Shultis Faw'!$C$2:$C$26,MATCH($C576,'Shultis Faw'!$A$2:$A$26,1))+($C576-INDEX('Shultis Faw'!$A$2:$A$26,MATCH($C576,'Shultis Faw'!$A$2:$A$26,1)))*(INDEX('Shultis Faw'!$C$2:$C$26,MATCH($C576,'Shultis Faw'!$A$2:$A$26,1)+1)-INDEX('Shultis Faw'!$C$2:$C$26,MATCH($C576,'Shultis Faw'!$A$2:$A$26,1)))/(INDEX('Shultis Faw'!$A$2:$A$26,MATCH($C576,'Shultis Faw'!$A$2:$A$26,1)+1)-INDEX('Shultis Faw'!$A$2:$A$26,MATCH($C576,'Shultis Faw'!$A$2:$A$26,1))),$C576*'Shultis Faw'!$C$2/'Shultis Faw'!$A$2)</f>
        <v>4.4377960000000005</v>
      </c>
      <c r="J576" s="83">
        <f>_xlfn.IFNA(INDEX('Shultis Faw'!$D$2:$D$26,MATCH($C576,'Shultis Faw'!$A$2:$A$26,1))+($C576-INDEX('Shultis Faw'!$A$2:$A$26,MATCH($C576,'Shultis Faw'!$A$2:$A$26,1)))*(INDEX('Shultis Faw'!$D$2:$D$26,MATCH($C576,'Shultis Faw'!$A$2:$A$26,1)+1)-INDEX('Shultis Faw'!$D$2:$D$26,MATCH($C576,'Shultis Faw'!$A$2:$A$26,1)))/(INDEX('Shultis Faw'!$A$2:$A$26,MATCH($C576,'Shultis Faw'!$A$2:$A$26,1)+1)-INDEX('Shultis Faw'!$A$2:$A$26,MATCH($C576,'Shultis Faw'!$A$2:$A$26,1))),$C576*'Shultis Faw'!$D$2/'Shultis Faw'!$A$2)</f>
        <v>2.2271740000000002</v>
      </c>
      <c r="K576" s="83">
        <f>_xlfn.IFNA(INDEX('Shultis Faw'!$B$2:$B$26,MATCH($C576,'Shultis Faw'!$A$2:$A$26,1))+($C576-INDEX('Shultis Faw'!$A$2:$A$26,MATCH($C576,'Shultis Faw'!$A$2:$A$26,1)))*(INDEX('Shultis Faw'!$B$2:$B$26,MATCH($C576,'Shultis Faw'!$A$2:$A$26,1)+1)-INDEX('Shultis Faw'!$B$2:$B$26,MATCH($C576,'Shultis Faw'!$A$2:$A$26,1)))/(INDEX('Shultis Faw'!$A$2:$A$26,MATCH($C576,'Shultis Faw'!$A$2:$A$26,1)+1)-INDEX('Shultis Faw'!$A$2:$A$26,MATCH($C576,'Shultis Faw'!$A$2:$A$26,1))),$C576*'Shultis Faw'!$B$2/'Shultis Faw'!$A$2)</f>
        <v>-0.18570600000000001</v>
      </c>
      <c r="L576" s="83">
        <f>_xlfn.IFNA(INDEX('Shultis Faw'!$E$2:$E$26,MATCH($C576,'Shultis Faw'!$A$2:$A$26,1))+($C576-INDEX('Shultis Faw'!$A$2:$A$26,MATCH($C576,'Shultis Faw'!$A$2:$A$26,1)))*(INDEX('Shultis Faw'!$E$2:$E$26,MATCH($C576,'Shultis Faw'!$A$2:$A$26,1)+1)-INDEX('Shultis Faw'!$E$2:$E$26,MATCH($C576,'Shultis Faw'!$A$2:$A$26,1)))/(INDEX('Shultis Faw'!$A$2:$A$26,MATCH($C576,'Shultis Faw'!$A$2:$A$26,1)+1)-INDEX('Shultis Faw'!$A$2:$A$26,MATCH($C576,'Shultis Faw'!$A$2:$A$26,1))),$C576*'Shultis Faw'!$E$2/'Shultis Faw'!$A$2)</f>
        <v>8.1159400000000007E-2</v>
      </c>
      <c r="M576" s="83">
        <f>_xlfn.IFNA(INDEX('Shultis Faw'!$F$2:$F$26,MATCH($C576,'Shultis Faw'!$A$2:$A$26,1))+($C576-INDEX('Shultis Faw'!$A$2:$A$26,MATCH($C576,'Shultis Faw'!$A$2:$A$26,1)))*(INDEX('Shultis Faw'!$F$2:$F$26,MATCH($C576,'Shultis Faw'!$A$2:$A$26,1)+1)-INDEX('Shultis Faw'!$F$2:$F$26,MATCH($C576,'Shultis Faw'!$A$2:$A$26,1)))/(INDEX('Shultis Faw'!$A$2:$A$26,MATCH($C576,'Shultis Faw'!$A$2:$A$26,1)+1)-INDEX('Shultis Faw'!$A$2:$A$26,MATCH($C576,'Shultis Faw'!$A$2:$A$26,1))),$C576*'Shultis Faw'!$F$2/'Shultis Faw'!$A$2)</f>
        <v>13.582839999999999</v>
      </c>
      <c r="N576" s="83">
        <f>J576*(H576*'Externe blootstelling'!$D$23/2)^K576+L576*(TANH(((H576*'Externe blootstelling'!$D$23)/(2*M576))-2)-TANH(-2))/(1-TANH(-2))</f>
        <v>1.8843866330836392</v>
      </c>
      <c r="O576" s="83">
        <f>IF(N576=1,1+(I576-1)*H576*'Externe blootstelling'!$D$23/2,1+(I576-1)*(N576^(H576*'Externe blootstelling'!$D$23/2)-1)/(N576-1))</f>
        <v>15.63351121441706</v>
      </c>
      <c r="P576" s="67">
        <f>G576*EXP(-H576*'Externe blootstelling'!$D$23/2)*O576</f>
        <v>7.7866582627941704E-5</v>
      </c>
      <c r="Q576" s="68"/>
    </row>
    <row r="577" spans="1:17" x14ac:dyDescent="0.2">
      <c r="A577" s="217"/>
      <c r="B577" s="64" t="s">
        <v>104</v>
      </c>
      <c r="C577" s="66">
        <v>0.122319</v>
      </c>
      <c r="D577" s="66">
        <f t="shared" si="40"/>
        <v>1.9571039999999998E-14</v>
      </c>
      <c r="E577" s="66">
        <v>1.238E-2</v>
      </c>
      <c r="F577" s="66">
        <f>_xlfn.IFNA(INDEX('hp (pSv cm2)'!$B$2:$B$52,MATCH($C577,'hp (pSv cm2)'!$A$2:$A$52,1))+($C577-INDEX('hp (pSv cm2)'!$A$2:$A$52,MATCH($C577,'hp (pSv cm2)'!$A$2:$A$52,1)))*(INDEX('hp (pSv cm2)'!$B$2:$B$52,MATCH($C577,'hp (pSv cm2)'!$A$2:$A$52,1)+1)-INDEX('hp (pSv cm2)'!$B$2:$B$52,MATCH($C577,'hp (pSv cm2)'!$A$2:$A$52,1)))/(INDEX('hp (pSv cm2)'!$A$2:$A$52,MATCH($C577,'hp (pSv cm2)'!$A$2:$A$52,1)+1)-INDEX('hp (pSv cm2)'!$A$2:$A$52,MATCH($C577,'hp (pSv cm2)'!$A$2:$A$52,1))),$C577*'hp (pSv cm2)'!$B$2/'hp (pSv cm2)'!$A$2)</f>
        <v>0.62022102000000001</v>
      </c>
      <c r="G577" s="67">
        <f t="shared" si="41"/>
        <v>7.6783362276000005E-3</v>
      </c>
      <c r="H577" s="83">
        <f>_xlfn.IFNA(0.997*(INDEX('Mass attenuation coefficients'!$B$2:$B$37,MATCH($C577,'Mass attenuation coefficients'!$A$2:$A$37,1))+($C577-INDEX('Mass attenuation coefficients'!$A$2:$A$37,MATCH($C577,'Mass attenuation coefficients'!$A$2:$A$37,1)))*(INDEX('Mass attenuation coefficients'!$B$2:$B$37,MATCH($C577,'Mass attenuation coefficients'!$A$2:$A$37,1)+1)-INDEX('Mass attenuation coefficients'!$B$2:$B$37,MATCH($C577,'Mass attenuation coefficients'!$A$2:$A$37,1)))/(INDEX('Mass attenuation coefficients'!$A$2:$A$37,MATCH($C577,'Mass attenuation coefficients'!$A$2:$A$37,1)+1)-INDEX('Mass attenuation coefficients'!$A$2:$A$37,MATCH($C577,'Mass attenuation coefficients'!$A$2:$A$37,1)))),0.997*$C577*'Mass attenuation coefficients'!$B$2/'Mass attenuation coefficients'!$A$2)</f>
        <v>0.16119807462799998</v>
      </c>
      <c r="I577" s="83">
        <f>_xlfn.IFNA(INDEX('Shultis Faw'!$C$2:$C$26,MATCH($C577,'Shultis Faw'!$A$2:$A$26,1))+($C577-INDEX('Shultis Faw'!$A$2:$A$26,MATCH($C577,'Shultis Faw'!$A$2:$A$26,1)))*(INDEX('Shultis Faw'!$C$2:$C$26,MATCH($C577,'Shultis Faw'!$A$2:$A$26,1)+1)-INDEX('Shultis Faw'!$C$2:$C$26,MATCH($C577,'Shultis Faw'!$A$2:$A$26,1)))/(INDEX('Shultis Faw'!$A$2:$A$26,MATCH($C577,'Shultis Faw'!$A$2:$A$26,1)+1)-INDEX('Shultis Faw'!$A$2:$A$26,MATCH($C577,'Shultis Faw'!$A$2:$A$26,1))),$C577*'Shultis Faw'!$C$2/'Shultis Faw'!$A$2)</f>
        <v>4.3210729199999998</v>
      </c>
      <c r="J577" s="83">
        <f>_xlfn.IFNA(INDEX('Shultis Faw'!$D$2:$D$26,MATCH($C577,'Shultis Faw'!$A$2:$A$26,1))+($C577-INDEX('Shultis Faw'!$A$2:$A$26,MATCH($C577,'Shultis Faw'!$A$2:$A$26,1)))*(INDEX('Shultis Faw'!$D$2:$D$26,MATCH($C577,'Shultis Faw'!$A$2:$A$26,1)+1)-INDEX('Shultis Faw'!$D$2:$D$26,MATCH($C577,'Shultis Faw'!$A$2:$A$26,1)))/(INDEX('Shultis Faw'!$A$2:$A$26,MATCH($C577,'Shultis Faw'!$A$2:$A$26,1)+1)-INDEX('Shultis Faw'!$A$2:$A$26,MATCH($C577,'Shultis Faw'!$A$2:$A$26,1))),$C577*'Shultis Faw'!$D$2/'Shultis Faw'!$A$2)</f>
        <v>2.23037398</v>
      </c>
      <c r="K577" s="83">
        <f>_xlfn.IFNA(INDEX('Shultis Faw'!$B$2:$B$26,MATCH($C577,'Shultis Faw'!$A$2:$A$26,1))+($C577-INDEX('Shultis Faw'!$A$2:$A$26,MATCH($C577,'Shultis Faw'!$A$2:$A$26,1)))*(INDEX('Shultis Faw'!$B$2:$B$26,MATCH($C577,'Shultis Faw'!$A$2:$A$26,1)+1)-INDEX('Shultis Faw'!$B$2:$B$26,MATCH($C577,'Shultis Faw'!$A$2:$A$26,1)))/(INDEX('Shultis Faw'!$A$2:$A$26,MATCH($C577,'Shultis Faw'!$A$2:$A$26,1)+1)-INDEX('Shultis Faw'!$A$2:$A$26,MATCH($C577,'Shultis Faw'!$A$2:$A$26,1))),$C577*'Shultis Faw'!$B$2/'Shultis Faw'!$A$2)</f>
        <v>-0.18555362</v>
      </c>
      <c r="L577" s="83">
        <f>_xlfn.IFNA(INDEX('Shultis Faw'!$E$2:$E$26,MATCH($C577,'Shultis Faw'!$A$2:$A$26,1))+($C577-INDEX('Shultis Faw'!$A$2:$A$26,MATCH($C577,'Shultis Faw'!$A$2:$A$26,1)))*(INDEX('Shultis Faw'!$E$2:$E$26,MATCH($C577,'Shultis Faw'!$A$2:$A$26,1)+1)-INDEX('Shultis Faw'!$E$2:$E$26,MATCH($C577,'Shultis Faw'!$A$2:$A$26,1)))/(INDEX('Shultis Faw'!$A$2:$A$26,MATCH($C577,'Shultis Faw'!$A$2:$A$26,1)+1)-INDEX('Shultis Faw'!$A$2:$A$26,MATCH($C577,'Shultis Faw'!$A$2:$A$26,1))),$C577*'Shultis Faw'!$E$2/'Shultis Faw'!$A$2)</f>
        <v>8.0412738000000011E-2</v>
      </c>
      <c r="M577" s="83">
        <f>_xlfn.IFNA(INDEX('Shultis Faw'!$F$2:$F$26,MATCH($C577,'Shultis Faw'!$A$2:$A$26,1))+($C577-INDEX('Shultis Faw'!$A$2:$A$26,MATCH($C577,'Shultis Faw'!$A$2:$A$26,1)))*(INDEX('Shultis Faw'!$F$2:$F$26,MATCH($C577,'Shultis Faw'!$A$2:$A$26,1)+1)-INDEX('Shultis Faw'!$F$2:$F$26,MATCH($C577,'Shultis Faw'!$A$2:$A$26,1)))/(INDEX('Shultis Faw'!$A$2:$A$26,MATCH($C577,'Shultis Faw'!$A$2:$A$26,1)+1)-INDEX('Shultis Faw'!$A$2:$A$26,MATCH($C577,'Shultis Faw'!$A$2:$A$26,1))),$C577*'Shultis Faw'!$F$2/'Shultis Faw'!$A$2)</f>
        <v>13.713886799999999</v>
      </c>
      <c r="N577" s="83">
        <f>J577*(H577*'Externe blootstelling'!$D$23/2)^K577+L577*(TANH(((H577*'Externe blootstelling'!$D$23)/(2*M577))-2)-TANH(-2))/(1-TANH(-2))</f>
        <v>1.8939396533626403</v>
      </c>
      <c r="O577" s="83">
        <f>IF(N577=1,1+(I577-1)*H577*'Externe blootstelling'!$D$23/2,1+(I577-1)*(N577^(H577*'Externe blootstelling'!$D$23/2)-1)/(N577-1))</f>
        <v>14.688279146772476</v>
      </c>
      <c r="P577" s="67">
        <f>G577*EXP(-H577*'Externe blootstelling'!$D$23/2)*O577</f>
        <v>1.0049085205436067E-2</v>
      </c>
      <c r="Q577" s="68"/>
    </row>
    <row r="578" spans="1:17" x14ac:dyDescent="0.2">
      <c r="A578" s="217"/>
      <c r="B578" s="64" t="s">
        <v>104</v>
      </c>
      <c r="C578" s="66">
        <v>0.13159999999999999</v>
      </c>
      <c r="D578" s="66">
        <f t="shared" si="40"/>
        <v>2.1055999999999998E-14</v>
      </c>
      <c r="E578" s="66">
        <v>6.0000000000000002E-5</v>
      </c>
      <c r="F578" s="66">
        <f>_xlfn.IFNA(INDEX('hp (pSv cm2)'!$B$2:$B$52,MATCH($C578,'hp (pSv cm2)'!$A$2:$A$52,1))+($C578-INDEX('hp (pSv cm2)'!$A$2:$A$52,MATCH($C578,'hp (pSv cm2)'!$A$2:$A$52,1)))*(INDEX('hp (pSv cm2)'!$B$2:$B$52,MATCH($C578,'hp (pSv cm2)'!$A$2:$A$52,1)+1)-INDEX('hp (pSv cm2)'!$B$2:$B$52,MATCH($C578,'hp (pSv cm2)'!$A$2:$A$52,1)))/(INDEX('hp (pSv cm2)'!$A$2:$A$52,MATCH($C578,'hp (pSv cm2)'!$A$2:$A$52,1)+1)-INDEX('hp (pSv cm2)'!$A$2:$A$52,MATCH($C578,'hp (pSv cm2)'!$A$2:$A$52,1))),$C578*'hp (pSv cm2)'!$B$2/'hp (pSv cm2)'!$A$2)</f>
        <v>0.66272799999999998</v>
      </c>
      <c r="G578" s="67">
        <f t="shared" si="41"/>
        <v>3.9763679999999999E-5</v>
      </c>
      <c r="H578" s="83">
        <f>_xlfn.IFNA(0.997*(INDEX('Mass attenuation coefficients'!$B$2:$B$37,MATCH($C578,'Mass attenuation coefficients'!$A$2:$A$37,1))+($C578-INDEX('Mass attenuation coefficients'!$A$2:$A$37,MATCH($C578,'Mass attenuation coefficients'!$A$2:$A$37,1)))*(INDEX('Mass attenuation coefficients'!$B$2:$B$37,MATCH($C578,'Mass attenuation coefficients'!$A$2:$A$37,1)+1)-INDEX('Mass attenuation coefficients'!$B$2:$B$37,MATCH($C578,'Mass attenuation coefficients'!$A$2:$A$37,1)))/(INDEX('Mass attenuation coefficients'!$A$2:$A$37,MATCH($C578,'Mass attenuation coefficients'!$A$2:$A$37,1)+1)-INDEX('Mass attenuation coefficients'!$A$2:$A$37,MATCH($C578,'Mass attenuation coefficients'!$A$2:$A$37,1)))),0.997*$C578*'Mass attenuation coefficients'!$B$2/'Mass attenuation coefficients'!$A$2)</f>
        <v>0.1574597992</v>
      </c>
      <c r="I578" s="83">
        <f>_xlfn.IFNA(INDEX('Shultis Faw'!$C$2:$C$26,MATCH($C578,'Shultis Faw'!$A$2:$A$26,1))+($C578-INDEX('Shultis Faw'!$A$2:$A$26,MATCH($C578,'Shultis Faw'!$A$2:$A$26,1)))*(INDEX('Shultis Faw'!$C$2:$C$26,MATCH($C578,'Shultis Faw'!$A$2:$A$26,1)+1)-INDEX('Shultis Faw'!$C$2:$C$26,MATCH($C578,'Shultis Faw'!$A$2:$A$26,1)))/(INDEX('Shultis Faw'!$A$2:$A$26,MATCH($C578,'Shultis Faw'!$A$2:$A$26,1)+1)-INDEX('Shultis Faw'!$A$2:$A$26,MATCH($C578,'Shultis Faw'!$A$2:$A$26,1))),$C578*'Shultis Faw'!$C$2/'Shultis Faw'!$A$2)</f>
        <v>4.1788879999999997</v>
      </c>
      <c r="J578" s="83">
        <f>_xlfn.IFNA(INDEX('Shultis Faw'!$D$2:$D$26,MATCH($C578,'Shultis Faw'!$A$2:$A$26,1))+($C578-INDEX('Shultis Faw'!$A$2:$A$26,MATCH($C578,'Shultis Faw'!$A$2:$A$26,1)))*(INDEX('Shultis Faw'!$D$2:$D$26,MATCH($C578,'Shultis Faw'!$A$2:$A$26,1)+1)-INDEX('Shultis Faw'!$D$2:$D$26,MATCH($C578,'Shultis Faw'!$A$2:$A$26,1)))/(INDEX('Shultis Faw'!$A$2:$A$26,MATCH($C578,'Shultis Faw'!$A$2:$A$26,1)+1)-INDEX('Shultis Faw'!$A$2:$A$26,MATCH($C578,'Shultis Faw'!$A$2:$A$26,1))),$C578*'Shultis Faw'!$D$2/'Shultis Faw'!$A$2)</f>
        <v>2.2342719999999998</v>
      </c>
      <c r="K578" s="83">
        <f>_xlfn.IFNA(INDEX('Shultis Faw'!$B$2:$B$26,MATCH($C578,'Shultis Faw'!$A$2:$A$26,1))+($C578-INDEX('Shultis Faw'!$A$2:$A$26,MATCH($C578,'Shultis Faw'!$A$2:$A$26,1)))*(INDEX('Shultis Faw'!$B$2:$B$26,MATCH($C578,'Shultis Faw'!$A$2:$A$26,1)+1)-INDEX('Shultis Faw'!$B$2:$B$26,MATCH($C578,'Shultis Faw'!$A$2:$A$26,1)))/(INDEX('Shultis Faw'!$A$2:$A$26,MATCH($C578,'Shultis Faw'!$A$2:$A$26,1)+1)-INDEX('Shultis Faw'!$A$2:$A$26,MATCH($C578,'Shultis Faw'!$A$2:$A$26,1))),$C578*'Shultis Faw'!$B$2/'Shultis Faw'!$A$2)</f>
        <v>-0.185368</v>
      </c>
      <c r="L578" s="83">
        <f>_xlfn.IFNA(INDEX('Shultis Faw'!$E$2:$E$26,MATCH($C578,'Shultis Faw'!$A$2:$A$26,1))+($C578-INDEX('Shultis Faw'!$A$2:$A$26,MATCH($C578,'Shultis Faw'!$A$2:$A$26,1)))*(INDEX('Shultis Faw'!$E$2:$E$26,MATCH($C578,'Shultis Faw'!$A$2:$A$26,1)+1)-INDEX('Shultis Faw'!$E$2:$E$26,MATCH($C578,'Shultis Faw'!$A$2:$A$26,1)))/(INDEX('Shultis Faw'!$A$2:$A$26,MATCH($C578,'Shultis Faw'!$A$2:$A$26,1)+1)-INDEX('Shultis Faw'!$A$2:$A$26,MATCH($C578,'Shultis Faw'!$A$2:$A$26,1))),$C578*'Shultis Faw'!$E$2/'Shultis Faw'!$A$2)</f>
        <v>7.950320000000001E-2</v>
      </c>
      <c r="M578" s="83">
        <f>_xlfn.IFNA(INDEX('Shultis Faw'!$F$2:$F$26,MATCH($C578,'Shultis Faw'!$A$2:$A$26,1))+($C578-INDEX('Shultis Faw'!$A$2:$A$26,MATCH($C578,'Shultis Faw'!$A$2:$A$26,1)))*(INDEX('Shultis Faw'!$F$2:$F$26,MATCH($C578,'Shultis Faw'!$A$2:$A$26,1)+1)-INDEX('Shultis Faw'!$F$2:$F$26,MATCH($C578,'Shultis Faw'!$A$2:$A$26,1)))/(INDEX('Shultis Faw'!$A$2:$A$26,MATCH($C578,'Shultis Faw'!$A$2:$A$26,1)+1)-INDEX('Shultis Faw'!$A$2:$A$26,MATCH($C578,'Shultis Faw'!$A$2:$A$26,1))),$C578*'Shultis Faw'!$F$2/'Shultis Faw'!$A$2)</f>
        <v>13.873519999999999</v>
      </c>
      <c r="N578" s="83">
        <f>J578*(H578*'Externe blootstelling'!$D$23/2)^K578+L578*(TANH(((H578*'Externe blootstelling'!$D$23)/(2*M578))-2)-TANH(-2))/(1-TANH(-2))</f>
        <v>1.9057970485357714</v>
      </c>
      <c r="O578" s="83">
        <f>IF(N578=1,1+(I578-1)*H578*'Externe blootstelling'!$D$23/2,1+(I578-1)*(N578^(H578*'Externe blootstelling'!$D$23/2)-1)/(N578-1))</f>
        <v>13.587936574794766</v>
      </c>
      <c r="P578" s="67">
        <f>G578*EXP(-H578*'Externe blootstelling'!$D$23/2)*O578</f>
        <v>5.0919162561239472E-5</v>
      </c>
      <c r="Q578" s="68"/>
    </row>
    <row r="579" spans="1:17" x14ac:dyDescent="0.2">
      <c r="A579" s="217"/>
      <c r="B579" s="64" t="s">
        <v>104</v>
      </c>
      <c r="C579" s="66">
        <v>0.13830000000000001</v>
      </c>
      <c r="D579" s="66">
        <f t="shared" si="40"/>
        <v>2.2128E-14</v>
      </c>
      <c r="E579" s="66">
        <v>1.7E-5</v>
      </c>
      <c r="F579" s="66">
        <f>_xlfn.IFNA(INDEX('hp (pSv cm2)'!$B$2:$B$52,MATCH($C579,'hp (pSv cm2)'!$A$2:$A$52,1))+($C579-INDEX('hp (pSv cm2)'!$A$2:$A$52,MATCH($C579,'hp (pSv cm2)'!$A$2:$A$52,1)))*(INDEX('hp (pSv cm2)'!$B$2:$B$52,MATCH($C579,'hp (pSv cm2)'!$A$2:$A$52,1)+1)-INDEX('hp (pSv cm2)'!$B$2:$B$52,MATCH($C579,'hp (pSv cm2)'!$A$2:$A$52,1)))/(INDEX('hp (pSv cm2)'!$A$2:$A$52,MATCH($C579,'hp (pSv cm2)'!$A$2:$A$52,1)+1)-INDEX('hp (pSv cm2)'!$A$2:$A$52,MATCH($C579,'hp (pSv cm2)'!$A$2:$A$52,1))),$C579*'hp (pSv cm2)'!$B$2/'hp (pSv cm2)'!$A$2)</f>
        <v>0.69341399999999997</v>
      </c>
      <c r="G579" s="67">
        <f t="shared" si="41"/>
        <v>1.1788038E-5</v>
      </c>
      <c r="H579" s="83">
        <f>_xlfn.IFNA(0.997*(INDEX('Mass attenuation coefficients'!$B$2:$B$37,MATCH($C579,'Mass attenuation coefficients'!$A$2:$A$37,1))+($C579-INDEX('Mass attenuation coefficients'!$A$2:$A$37,MATCH($C579,'Mass attenuation coefficients'!$A$2:$A$37,1)))*(INDEX('Mass attenuation coefficients'!$B$2:$B$37,MATCH($C579,'Mass attenuation coefficients'!$A$2:$A$37,1)+1)-INDEX('Mass attenuation coefficients'!$B$2:$B$37,MATCH($C579,'Mass attenuation coefficients'!$A$2:$A$37,1)))/(INDEX('Mass attenuation coefficients'!$A$2:$A$37,MATCH($C579,'Mass attenuation coefficients'!$A$2:$A$37,1)+1)-INDEX('Mass attenuation coefficients'!$A$2:$A$37,MATCH($C579,'Mass attenuation coefficients'!$A$2:$A$37,1)))),0.997*$C579*'Mass attenuation coefficients'!$B$2/'Mass attenuation coefficients'!$A$2)</f>
        <v>0.1547611196</v>
      </c>
      <c r="I579" s="83">
        <f>_xlfn.IFNA(INDEX('Shultis Faw'!$C$2:$C$26,MATCH($C579,'Shultis Faw'!$A$2:$A$26,1))+($C579-INDEX('Shultis Faw'!$A$2:$A$26,MATCH($C579,'Shultis Faw'!$A$2:$A$26,1)))*(INDEX('Shultis Faw'!$C$2:$C$26,MATCH($C579,'Shultis Faw'!$A$2:$A$26,1)+1)-INDEX('Shultis Faw'!$C$2:$C$26,MATCH($C579,'Shultis Faw'!$A$2:$A$26,1)))/(INDEX('Shultis Faw'!$A$2:$A$26,MATCH($C579,'Shultis Faw'!$A$2:$A$26,1)+1)-INDEX('Shultis Faw'!$A$2:$A$26,MATCH($C579,'Shultis Faw'!$A$2:$A$26,1))),$C579*'Shultis Faw'!$C$2/'Shultis Faw'!$A$2)</f>
        <v>4.076244</v>
      </c>
      <c r="J579" s="83">
        <f>_xlfn.IFNA(INDEX('Shultis Faw'!$D$2:$D$26,MATCH($C579,'Shultis Faw'!$A$2:$A$26,1))+($C579-INDEX('Shultis Faw'!$A$2:$A$26,MATCH($C579,'Shultis Faw'!$A$2:$A$26,1)))*(INDEX('Shultis Faw'!$D$2:$D$26,MATCH($C579,'Shultis Faw'!$A$2:$A$26,1)+1)-INDEX('Shultis Faw'!$D$2:$D$26,MATCH($C579,'Shultis Faw'!$A$2:$A$26,1)))/(INDEX('Shultis Faw'!$A$2:$A$26,MATCH($C579,'Shultis Faw'!$A$2:$A$26,1)+1)-INDEX('Shultis Faw'!$A$2:$A$26,MATCH($C579,'Shultis Faw'!$A$2:$A$26,1))),$C579*'Shultis Faw'!$D$2/'Shultis Faw'!$A$2)</f>
        <v>2.2370860000000001</v>
      </c>
      <c r="K579" s="83">
        <f>_xlfn.IFNA(INDEX('Shultis Faw'!$B$2:$B$26,MATCH($C579,'Shultis Faw'!$A$2:$A$26,1))+($C579-INDEX('Shultis Faw'!$A$2:$A$26,MATCH($C579,'Shultis Faw'!$A$2:$A$26,1)))*(INDEX('Shultis Faw'!$B$2:$B$26,MATCH($C579,'Shultis Faw'!$A$2:$A$26,1)+1)-INDEX('Shultis Faw'!$B$2:$B$26,MATCH($C579,'Shultis Faw'!$A$2:$A$26,1)))/(INDEX('Shultis Faw'!$A$2:$A$26,MATCH($C579,'Shultis Faw'!$A$2:$A$26,1)+1)-INDEX('Shultis Faw'!$A$2:$A$26,MATCH($C579,'Shultis Faw'!$A$2:$A$26,1))),$C579*'Shultis Faw'!$B$2/'Shultis Faw'!$A$2)</f>
        <v>-0.18523400000000001</v>
      </c>
      <c r="L579" s="83">
        <f>_xlfn.IFNA(INDEX('Shultis Faw'!$E$2:$E$26,MATCH($C579,'Shultis Faw'!$A$2:$A$26,1))+($C579-INDEX('Shultis Faw'!$A$2:$A$26,MATCH($C579,'Shultis Faw'!$A$2:$A$26,1)))*(INDEX('Shultis Faw'!$E$2:$E$26,MATCH($C579,'Shultis Faw'!$A$2:$A$26,1)+1)-INDEX('Shultis Faw'!$E$2:$E$26,MATCH($C579,'Shultis Faw'!$A$2:$A$26,1)))/(INDEX('Shultis Faw'!$A$2:$A$26,MATCH($C579,'Shultis Faw'!$A$2:$A$26,1)+1)-INDEX('Shultis Faw'!$A$2:$A$26,MATCH($C579,'Shultis Faw'!$A$2:$A$26,1))),$C579*'Shultis Faw'!$E$2/'Shultis Faw'!$A$2)</f>
        <v>7.8846600000000003E-2</v>
      </c>
      <c r="M579" s="83">
        <f>_xlfn.IFNA(INDEX('Shultis Faw'!$F$2:$F$26,MATCH($C579,'Shultis Faw'!$A$2:$A$26,1))+($C579-INDEX('Shultis Faw'!$A$2:$A$26,MATCH($C579,'Shultis Faw'!$A$2:$A$26,1)))*(INDEX('Shultis Faw'!$F$2:$F$26,MATCH($C579,'Shultis Faw'!$A$2:$A$26,1)+1)-INDEX('Shultis Faw'!$F$2:$F$26,MATCH($C579,'Shultis Faw'!$A$2:$A$26,1)))/(INDEX('Shultis Faw'!$A$2:$A$26,MATCH($C579,'Shultis Faw'!$A$2:$A$26,1)+1)-INDEX('Shultis Faw'!$A$2:$A$26,MATCH($C579,'Shultis Faw'!$A$2:$A$26,1))),$C579*'Shultis Faw'!$F$2/'Shultis Faw'!$A$2)</f>
        <v>13.988759999999999</v>
      </c>
      <c r="N579" s="83">
        <f>J579*(H579*'Externe blootstelling'!$D$23/2)^K579+L579*(TANH(((H579*'Externe blootstelling'!$D$23)/(2*M579))-2)-TANH(-2))/(1-TANH(-2))</f>
        <v>1.914513873281988</v>
      </c>
      <c r="O579" s="83">
        <f>IF(N579=1,1+(I579-1)*H579*'Externe blootstelling'!$D$23/2,1+(I579-1)*(N579^(H579*'Externe blootstelling'!$D$23/2)-1)/(N579-1))</f>
        <v>12.827879577301092</v>
      </c>
      <c r="P579" s="67">
        <f>G579*EXP(-H579*'Externe blootstelling'!$D$23/2)*O579</f>
        <v>1.4839453171610785E-5</v>
      </c>
      <c r="Q579" s="68"/>
    </row>
    <row r="580" spans="1:17" x14ac:dyDescent="0.2">
      <c r="A580" s="217"/>
      <c r="B580" s="64" t="s">
        <v>104</v>
      </c>
      <c r="C580" s="66">
        <v>0.14427000000000001</v>
      </c>
      <c r="D580" s="66">
        <f t="shared" si="40"/>
        <v>2.3083199999999999E-14</v>
      </c>
      <c r="E580" s="66">
        <v>3.3599999999999998E-2</v>
      </c>
      <c r="F580" s="66">
        <f>_xlfn.IFNA(INDEX('hp (pSv cm2)'!$B$2:$B$52,MATCH($C580,'hp (pSv cm2)'!$A$2:$A$52,1))+($C580-INDEX('hp (pSv cm2)'!$A$2:$A$52,MATCH($C580,'hp (pSv cm2)'!$A$2:$A$52,1)))*(INDEX('hp (pSv cm2)'!$B$2:$B$52,MATCH($C580,'hp (pSv cm2)'!$A$2:$A$52,1)+1)-INDEX('hp (pSv cm2)'!$B$2:$B$52,MATCH($C580,'hp (pSv cm2)'!$A$2:$A$52,1)))/(INDEX('hp (pSv cm2)'!$A$2:$A$52,MATCH($C580,'hp (pSv cm2)'!$A$2:$A$52,1)+1)-INDEX('hp (pSv cm2)'!$A$2:$A$52,MATCH($C580,'hp (pSv cm2)'!$A$2:$A$52,1))),$C580*'hp (pSv cm2)'!$B$2/'hp (pSv cm2)'!$A$2)</f>
        <v>0.72075660000000008</v>
      </c>
      <c r="G580" s="67">
        <f t="shared" si="41"/>
        <v>2.421742176E-2</v>
      </c>
      <c r="H580" s="83">
        <f>_xlfn.IFNA(0.997*(INDEX('Mass attenuation coefficients'!$B$2:$B$37,MATCH($C580,'Mass attenuation coefficients'!$A$2:$A$37,1))+($C580-INDEX('Mass attenuation coefficients'!$A$2:$A$37,MATCH($C580,'Mass attenuation coefficients'!$A$2:$A$37,1)))*(INDEX('Mass attenuation coefficients'!$B$2:$B$37,MATCH($C580,'Mass attenuation coefficients'!$A$2:$A$37,1)+1)-INDEX('Mass attenuation coefficients'!$B$2:$B$37,MATCH($C580,'Mass attenuation coefficients'!$A$2:$A$37,1)))/(INDEX('Mass attenuation coefficients'!$A$2:$A$37,MATCH($C580,'Mass attenuation coefficients'!$A$2:$A$37,1)+1)-INDEX('Mass attenuation coefficients'!$A$2:$A$37,MATCH($C580,'Mass attenuation coefficients'!$A$2:$A$37,1)))),0.997*$C580*'Mass attenuation coefficients'!$B$2/'Mass attenuation coefficients'!$A$2)</f>
        <v>0.15235647523999998</v>
      </c>
      <c r="I580" s="83">
        <f>_xlfn.IFNA(INDEX('Shultis Faw'!$C$2:$C$26,MATCH($C580,'Shultis Faw'!$A$2:$A$26,1))+($C580-INDEX('Shultis Faw'!$A$2:$A$26,MATCH($C580,'Shultis Faw'!$A$2:$A$26,1)))*(INDEX('Shultis Faw'!$C$2:$C$26,MATCH($C580,'Shultis Faw'!$A$2:$A$26,1)+1)-INDEX('Shultis Faw'!$C$2:$C$26,MATCH($C580,'Shultis Faw'!$A$2:$A$26,1)))/(INDEX('Shultis Faw'!$A$2:$A$26,MATCH($C580,'Shultis Faw'!$A$2:$A$26,1)+1)-INDEX('Shultis Faw'!$A$2:$A$26,MATCH($C580,'Shultis Faw'!$A$2:$A$26,1))),$C580*'Shultis Faw'!$C$2/'Shultis Faw'!$A$2)</f>
        <v>3.9847835999999996</v>
      </c>
      <c r="J580" s="83">
        <f>_xlfn.IFNA(INDEX('Shultis Faw'!$D$2:$D$26,MATCH($C580,'Shultis Faw'!$A$2:$A$26,1))+($C580-INDEX('Shultis Faw'!$A$2:$A$26,MATCH($C580,'Shultis Faw'!$A$2:$A$26,1)))*(INDEX('Shultis Faw'!$D$2:$D$26,MATCH($C580,'Shultis Faw'!$A$2:$A$26,1)+1)-INDEX('Shultis Faw'!$D$2:$D$26,MATCH($C580,'Shultis Faw'!$A$2:$A$26,1)))/(INDEX('Shultis Faw'!$A$2:$A$26,MATCH($C580,'Shultis Faw'!$A$2:$A$26,1)+1)-INDEX('Shultis Faw'!$A$2:$A$26,MATCH($C580,'Shultis Faw'!$A$2:$A$26,1))),$C580*'Shultis Faw'!$D$2/'Shultis Faw'!$A$2)</f>
        <v>2.2395934</v>
      </c>
      <c r="K580" s="83">
        <f>_xlfn.IFNA(INDEX('Shultis Faw'!$B$2:$B$26,MATCH($C580,'Shultis Faw'!$A$2:$A$26,1))+($C580-INDEX('Shultis Faw'!$A$2:$A$26,MATCH($C580,'Shultis Faw'!$A$2:$A$26,1)))*(INDEX('Shultis Faw'!$B$2:$B$26,MATCH($C580,'Shultis Faw'!$A$2:$A$26,1)+1)-INDEX('Shultis Faw'!$B$2:$B$26,MATCH($C580,'Shultis Faw'!$A$2:$A$26,1)))/(INDEX('Shultis Faw'!$A$2:$A$26,MATCH($C580,'Shultis Faw'!$A$2:$A$26,1)+1)-INDEX('Shultis Faw'!$A$2:$A$26,MATCH($C580,'Shultis Faw'!$A$2:$A$26,1))),$C580*'Shultis Faw'!$B$2/'Shultis Faw'!$A$2)</f>
        <v>-0.18511459999999999</v>
      </c>
      <c r="L580" s="83">
        <f>_xlfn.IFNA(INDEX('Shultis Faw'!$E$2:$E$26,MATCH($C580,'Shultis Faw'!$A$2:$A$26,1))+($C580-INDEX('Shultis Faw'!$A$2:$A$26,MATCH($C580,'Shultis Faw'!$A$2:$A$26,1)))*(INDEX('Shultis Faw'!$E$2:$E$26,MATCH($C580,'Shultis Faw'!$A$2:$A$26,1)+1)-INDEX('Shultis Faw'!$E$2:$E$26,MATCH($C580,'Shultis Faw'!$A$2:$A$26,1)))/(INDEX('Shultis Faw'!$A$2:$A$26,MATCH($C580,'Shultis Faw'!$A$2:$A$26,1)+1)-INDEX('Shultis Faw'!$A$2:$A$26,MATCH($C580,'Shultis Faw'!$A$2:$A$26,1))),$C580*'Shultis Faw'!$E$2/'Shultis Faw'!$A$2)</f>
        <v>7.8261540000000004E-2</v>
      </c>
      <c r="M580" s="83">
        <f>_xlfn.IFNA(INDEX('Shultis Faw'!$F$2:$F$26,MATCH($C580,'Shultis Faw'!$A$2:$A$26,1))+($C580-INDEX('Shultis Faw'!$A$2:$A$26,MATCH($C580,'Shultis Faw'!$A$2:$A$26,1)))*(INDEX('Shultis Faw'!$F$2:$F$26,MATCH($C580,'Shultis Faw'!$A$2:$A$26,1)+1)-INDEX('Shultis Faw'!$F$2:$F$26,MATCH($C580,'Shultis Faw'!$A$2:$A$26,1)))/(INDEX('Shultis Faw'!$A$2:$A$26,MATCH($C580,'Shultis Faw'!$A$2:$A$26,1)+1)-INDEX('Shultis Faw'!$A$2:$A$26,MATCH($C580,'Shultis Faw'!$A$2:$A$26,1))),$C580*'Shultis Faw'!$F$2/'Shultis Faw'!$A$2)</f>
        <v>14.091443999999999</v>
      </c>
      <c r="N580" s="83">
        <f>J580*(H580*'Externe blootstelling'!$D$23/2)^K580+L580*(TANH(((H580*'Externe blootstelling'!$D$23)/(2*M580))-2)-TANH(-2))/(1-TANH(-2))</f>
        <v>1.9223962654305955</v>
      </c>
      <c r="O580" s="83">
        <f>IF(N580=1,1+(I580-1)*H580*'Externe blootstelling'!$D$23/2,1+(I580-1)*(N580^(H580*'Externe blootstelling'!$D$23/2)-1)/(N580-1))</f>
        <v>12.17446073892668</v>
      </c>
      <c r="P580" s="67">
        <f>G580*EXP(-H580*'Externe blootstelling'!$D$23/2)*O580</f>
        <v>2.9996044665563441E-2</v>
      </c>
      <c r="Q580" s="68"/>
    </row>
    <row r="581" spans="1:17" x14ac:dyDescent="0.2">
      <c r="A581" s="217"/>
      <c r="B581" s="64" t="s">
        <v>104</v>
      </c>
      <c r="C581" s="66">
        <v>0.1472</v>
      </c>
      <c r="D581" s="66">
        <f t="shared" si="40"/>
        <v>2.3551999999999998E-14</v>
      </c>
      <c r="E581" s="66">
        <v>6.0000000000000002E-5</v>
      </c>
      <c r="F581" s="66">
        <f>_xlfn.IFNA(INDEX('hp (pSv cm2)'!$B$2:$B$52,MATCH($C581,'hp (pSv cm2)'!$A$2:$A$52,1))+($C581-INDEX('hp (pSv cm2)'!$A$2:$A$52,MATCH($C581,'hp (pSv cm2)'!$A$2:$A$52,1)))*(INDEX('hp (pSv cm2)'!$B$2:$B$52,MATCH($C581,'hp (pSv cm2)'!$A$2:$A$52,1)+1)-INDEX('hp (pSv cm2)'!$B$2:$B$52,MATCH($C581,'hp (pSv cm2)'!$A$2:$A$52,1)))/(INDEX('hp (pSv cm2)'!$A$2:$A$52,MATCH($C581,'hp (pSv cm2)'!$A$2:$A$52,1)+1)-INDEX('hp (pSv cm2)'!$A$2:$A$52,MATCH($C581,'hp (pSv cm2)'!$A$2:$A$52,1))),$C581*'hp (pSv cm2)'!$B$2/'hp (pSv cm2)'!$A$2)</f>
        <v>0.73417599999999994</v>
      </c>
      <c r="G581" s="67">
        <f t="shared" si="41"/>
        <v>4.4050559999999999E-5</v>
      </c>
      <c r="H581" s="83">
        <f>_xlfn.IFNA(0.997*(INDEX('Mass attenuation coefficients'!$B$2:$B$37,MATCH($C581,'Mass attenuation coefficients'!$A$2:$A$37,1))+($C581-INDEX('Mass attenuation coefficients'!$A$2:$A$37,MATCH($C581,'Mass attenuation coefficients'!$A$2:$A$37,1)))*(INDEX('Mass attenuation coefficients'!$B$2:$B$37,MATCH($C581,'Mass attenuation coefficients'!$A$2:$A$37,1)+1)-INDEX('Mass attenuation coefficients'!$B$2:$B$37,MATCH($C581,'Mass attenuation coefficients'!$A$2:$A$37,1)))/(INDEX('Mass attenuation coefficients'!$A$2:$A$37,MATCH($C581,'Mass attenuation coefficients'!$A$2:$A$37,1)+1)-INDEX('Mass attenuation coefficients'!$A$2:$A$37,MATCH($C581,'Mass attenuation coefficients'!$A$2:$A$37,1)))),0.997*$C581*'Mass attenuation coefficients'!$B$2/'Mass attenuation coefficients'!$A$2)</f>
        <v>0.15117630639999999</v>
      </c>
      <c r="I581" s="83">
        <f>_xlfn.IFNA(INDEX('Shultis Faw'!$C$2:$C$26,MATCH($C581,'Shultis Faw'!$A$2:$A$26,1))+($C581-INDEX('Shultis Faw'!$A$2:$A$26,MATCH($C581,'Shultis Faw'!$A$2:$A$26,1)))*(INDEX('Shultis Faw'!$C$2:$C$26,MATCH($C581,'Shultis Faw'!$A$2:$A$26,1)+1)-INDEX('Shultis Faw'!$C$2:$C$26,MATCH($C581,'Shultis Faw'!$A$2:$A$26,1)))/(INDEX('Shultis Faw'!$A$2:$A$26,MATCH($C581,'Shultis Faw'!$A$2:$A$26,1)+1)-INDEX('Shultis Faw'!$A$2:$A$26,MATCH($C581,'Shultis Faw'!$A$2:$A$26,1))),$C581*'Shultis Faw'!$C$2/'Shultis Faw'!$A$2)</f>
        <v>3.9398960000000001</v>
      </c>
      <c r="J581" s="83">
        <f>_xlfn.IFNA(INDEX('Shultis Faw'!$D$2:$D$26,MATCH($C581,'Shultis Faw'!$A$2:$A$26,1))+($C581-INDEX('Shultis Faw'!$A$2:$A$26,MATCH($C581,'Shultis Faw'!$A$2:$A$26,1)))*(INDEX('Shultis Faw'!$D$2:$D$26,MATCH($C581,'Shultis Faw'!$A$2:$A$26,1)+1)-INDEX('Shultis Faw'!$D$2:$D$26,MATCH($C581,'Shultis Faw'!$A$2:$A$26,1)))/(INDEX('Shultis Faw'!$A$2:$A$26,MATCH($C581,'Shultis Faw'!$A$2:$A$26,1)+1)-INDEX('Shultis Faw'!$A$2:$A$26,MATCH($C581,'Shultis Faw'!$A$2:$A$26,1))),$C581*'Shultis Faw'!$D$2/'Shultis Faw'!$A$2)</f>
        <v>2.2408239999999999</v>
      </c>
      <c r="K581" s="83">
        <f>_xlfn.IFNA(INDEX('Shultis Faw'!$B$2:$B$26,MATCH($C581,'Shultis Faw'!$A$2:$A$26,1))+($C581-INDEX('Shultis Faw'!$A$2:$A$26,MATCH($C581,'Shultis Faw'!$A$2:$A$26,1)))*(INDEX('Shultis Faw'!$B$2:$B$26,MATCH($C581,'Shultis Faw'!$A$2:$A$26,1)+1)-INDEX('Shultis Faw'!$B$2:$B$26,MATCH($C581,'Shultis Faw'!$A$2:$A$26,1)))/(INDEX('Shultis Faw'!$A$2:$A$26,MATCH($C581,'Shultis Faw'!$A$2:$A$26,1)+1)-INDEX('Shultis Faw'!$A$2:$A$26,MATCH($C581,'Shultis Faw'!$A$2:$A$26,1))),$C581*'Shultis Faw'!$B$2/'Shultis Faw'!$A$2)</f>
        <v>-0.185056</v>
      </c>
      <c r="L581" s="83">
        <f>_xlfn.IFNA(INDEX('Shultis Faw'!$E$2:$E$26,MATCH($C581,'Shultis Faw'!$A$2:$A$26,1))+($C581-INDEX('Shultis Faw'!$A$2:$A$26,MATCH($C581,'Shultis Faw'!$A$2:$A$26,1)))*(INDEX('Shultis Faw'!$E$2:$E$26,MATCH($C581,'Shultis Faw'!$A$2:$A$26,1)+1)-INDEX('Shultis Faw'!$E$2:$E$26,MATCH($C581,'Shultis Faw'!$A$2:$A$26,1)))/(INDEX('Shultis Faw'!$A$2:$A$26,MATCH($C581,'Shultis Faw'!$A$2:$A$26,1)+1)-INDEX('Shultis Faw'!$A$2:$A$26,MATCH($C581,'Shultis Faw'!$A$2:$A$26,1))),$C581*'Shultis Faw'!$E$2/'Shultis Faw'!$A$2)</f>
        <v>7.7974399999999999E-2</v>
      </c>
      <c r="M581" s="83">
        <f>_xlfn.IFNA(INDEX('Shultis Faw'!$F$2:$F$26,MATCH($C581,'Shultis Faw'!$A$2:$A$26,1))+($C581-INDEX('Shultis Faw'!$A$2:$A$26,MATCH($C581,'Shultis Faw'!$A$2:$A$26,1)))*(INDEX('Shultis Faw'!$F$2:$F$26,MATCH($C581,'Shultis Faw'!$A$2:$A$26,1)+1)-INDEX('Shultis Faw'!$F$2:$F$26,MATCH($C581,'Shultis Faw'!$A$2:$A$26,1)))/(INDEX('Shultis Faw'!$A$2:$A$26,MATCH($C581,'Shultis Faw'!$A$2:$A$26,1)+1)-INDEX('Shultis Faw'!$A$2:$A$26,MATCH($C581,'Shultis Faw'!$A$2:$A$26,1))),$C581*'Shultis Faw'!$F$2/'Shultis Faw'!$A$2)</f>
        <v>14.14184</v>
      </c>
      <c r="N581" s="83">
        <f>J581*(H581*'Externe blootstelling'!$D$23/2)^K581+L581*(TANH(((H581*'Externe blootstelling'!$D$23)/(2*M581))-2)-TANH(-2))/(1-TANH(-2))</f>
        <v>1.9263057477688383</v>
      </c>
      <c r="O581" s="83">
        <f>IF(N581=1,1+(I581-1)*H581*'Externe blootstelling'!$D$23/2,1+(I581-1)*(N581^(H581*'Externe blootstelling'!$D$23/2)-1)/(N581-1))</f>
        <v>11.861886407241425</v>
      </c>
      <c r="P581" s="67">
        <f>G581*EXP(-H581*'Externe blootstelling'!$D$23/2)*O581</f>
        <v>5.4110264850395672E-5</v>
      </c>
      <c r="Q581" s="68"/>
    </row>
    <row r="582" spans="1:17" x14ac:dyDescent="0.2">
      <c r="A582" s="217"/>
      <c r="B582" s="64" t="s">
        <v>104</v>
      </c>
      <c r="C582" s="66">
        <v>0.15420800000000001</v>
      </c>
      <c r="D582" s="66">
        <f t="shared" si="40"/>
        <v>2.467328E-14</v>
      </c>
      <c r="E582" s="66">
        <v>5.8400000000000001E-2</v>
      </c>
      <c r="F582" s="66">
        <f>_xlfn.IFNA(INDEX('hp (pSv cm2)'!$B$2:$B$52,MATCH($C582,'hp (pSv cm2)'!$A$2:$A$52,1))+($C582-INDEX('hp (pSv cm2)'!$A$2:$A$52,MATCH($C582,'hp (pSv cm2)'!$A$2:$A$52,1)))*(INDEX('hp (pSv cm2)'!$B$2:$B$52,MATCH($C582,'hp (pSv cm2)'!$A$2:$A$52,1)+1)-INDEX('hp (pSv cm2)'!$B$2:$B$52,MATCH($C582,'hp (pSv cm2)'!$A$2:$A$52,1)))/(INDEX('hp (pSv cm2)'!$A$2:$A$52,MATCH($C582,'hp (pSv cm2)'!$A$2:$A$52,1)+1)-INDEX('hp (pSv cm2)'!$A$2:$A$52,MATCH($C582,'hp (pSv cm2)'!$A$2:$A$52,1))),$C582*'hp (pSv cm2)'!$B$2/'hp (pSv cm2)'!$A$2)</f>
        <v>0.76829248000000006</v>
      </c>
      <c r="G582" s="67">
        <f t="shared" si="41"/>
        <v>4.4868280832000007E-2</v>
      </c>
      <c r="H582" s="83">
        <f>_xlfn.IFNA(0.997*(INDEX('Mass attenuation coefficients'!$B$2:$B$37,MATCH($C582,'Mass attenuation coefficients'!$A$2:$A$37,1))+($C582-INDEX('Mass attenuation coefficients'!$A$2:$A$37,MATCH($C582,'Mass attenuation coefficients'!$A$2:$A$37,1)))*(INDEX('Mass attenuation coefficients'!$B$2:$B$37,MATCH($C582,'Mass attenuation coefficients'!$A$2:$A$37,1)+1)-INDEX('Mass attenuation coefficients'!$B$2:$B$37,MATCH($C582,'Mass attenuation coefficients'!$A$2:$A$37,1)))/(INDEX('Mass attenuation coefficients'!$A$2:$A$37,MATCH($C582,'Mass attenuation coefficients'!$A$2:$A$37,1)+1)-INDEX('Mass attenuation coefficients'!$A$2:$A$37,MATCH($C582,'Mass attenuation coefficients'!$A$2:$A$37,1)))),0.997*$C582*'Mass attenuation coefficients'!$B$2/'Mass attenuation coefficients'!$A$2)</f>
        <v>0.14891574848</v>
      </c>
      <c r="I582" s="83">
        <f>_xlfn.IFNA(INDEX('Shultis Faw'!$C$2:$C$26,MATCH($C582,'Shultis Faw'!$A$2:$A$26,1))+($C582-INDEX('Shultis Faw'!$A$2:$A$26,MATCH($C582,'Shultis Faw'!$A$2:$A$26,1)))*(INDEX('Shultis Faw'!$C$2:$C$26,MATCH($C582,'Shultis Faw'!$A$2:$A$26,1)+1)-INDEX('Shultis Faw'!$C$2:$C$26,MATCH($C582,'Shultis Faw'!$A$2:$A$26,1)))/(INDEX('Shultis Faw'!$A$2:$A$26,MATCH($C582,'Shultis Faw'!$A$2:$A$26,1)+1)-INDEX('Shultis Faw'!$A$2:$A$26,MATCH($C582,'Shultis Faw'!$A$2:$A$26,1))),$C582*'Shultis Faw'!$C$2/'Shultis Faw'!$A$2)</f>
        <v>3.8617369599999996</v>
      </c>
      <c r="J582" s="83">
        <f>_xlfn.IFNA(INDEX('Shultis Faw'!$D$2:$D$26,MATCH($C582,'Shultis Faw'!$A$2:$A$26,1))+($C582-INDEX('Shultis Faw'!$A$2:$A$26,MATCH($C582,'Shultis Faw'!$A$2:$A$26,1)))*(INDEX('Shultis Faw'!$D$2:$D$26,MATCH($C582,'Shultis Faw'!$A$2:$A$26,1)+1)-INDEX('Shultis Faw'!$D$2:$D$26,MATCH($C582,'Shultis Faw'!$A$2:$A$26,1)))/(INDEX('Shultis Faw'!$A$2:$A$26,MATCH($C582,'Shultis Faw'!$A$2:$A$26,1)+1)-INDEX('Shultis Faw'!$A$2:$A$26,MATCH($C582,'Shultis Faw'!$A$2:$A$26,1))),$C582*'Shultis Faw'!$D$2/'Shultis Faw'!$A$2)</f>
        <v>2.23459392</v>
      </c>
      <c r="K582" s="83">
        <f>_xlfn.IFNA(INDEX('Shultis Faw'!$B$2:$B$26,MATCH($C582,'Shultis Faw'!$A$2:$A$26,1))+($C582-INDEX('Shultis Faw'!$A$2:$A$26,MATCH($C582,'Shultis Faw'!$A$2:$A$26,1)))*(INDEX('Shultis Faw'!$B$2:$B$26,MATCH($C582,'Shultis Faw'!$A$2:$A$26,1)+1)-INDEX('Shultis Faw'!$B$2:$B$26,MATCH($C582,'Shultis Faw'!$A$2:$A$26,1)))/(INDEX('Shultis Faw'!$A$2:$A$26,MATCH($C582,'Shultis Faw'!$A$2:$A$26,1)+1)-INDEX('Shultis Faw'!$A$2:$A$26,MATCH($C582,'Shultis Faw'!$A$2:$A$26,1))),$C582*'Shultis Faw'!$B$2/'Shultis Faw'!$A$2)</f>
        <v>-0.18424256</v>
      </c>
      <c r="L582" s="83">
        <f>_xlfn.IFNA(INDEX('Shultis Faw'!$E$2:$E$26,MATCH($C582,'Shultis Faw'!$A$2:$A$26,1))+($C582-INDEX('Shultis Faw'!$A$2:$A$26,MATCH($C582,'Shultis Faw'!$A$2:$A$26,1)))*(INDEX('Shultis Faw'!$E$2:$E$26,MATCH($C582,'Shultis Faw'!$A$2:$A$26,1)+1)-INDEX('Shultis Faw'!$E$2:$E$26,MATCH($C582,'Shultis Faw'!$A$2:$A$26,1)))/(INDEX('Shultis Faw'!$A$2:$A$26,MATCH($C582,'Shultis Faw'!$A$2:$A$26,1)+1)-INDEX('Shultis Faw'!$A$2:$A$26,MATCH($C582,'Shultis Faw'!$A$2:$A$26,1))),$C582*'Shultis Faw'!$E$2/'Shultis Faw'!$A$2)</f>
        <v>7.7674752E-2</v>
      </c>
      <c r="M582" s="83">
        <f>_xlfn.IFNA(INDEX('Shultis Faw'!$F$2:$F$26,MATCH($C582,'Shultis Faw'!$A$2:$A$26,1))+($C582-INDEX('Shultis Faw'!$A$2:$A$26,MATCH($C582,'Shultis Faw'!$A$2:$A$26,1)))*(INDEX('Shultis Faw'!$F$2:$F$26,MATCH($C582,'Shultis Faw'!$A$2:$A$26,1)+1)-INDEX('Shultis Faw'!$F$2:$F$26,MATCH($C582,'Shultis Faw'!$A$2:$A$26,1)))/(INDEX('Shultis Faw'!$A$2:$A$26,MATCH($C582,'Shultis Faw'!$A$2:$A$26,1)+1)-INDEX('Shultis Faw'!$A$2:$A$26,MATCH($C582,'Shultis Faw'!$A$2:$A$26,1))),$C582*'Shultis Faw'!$F$2/'Shultis Faw'!$A$2)</f>
        <v>14.2160896</v>
      </c>
      <c r="N582" s="83">
        <f>J582*(H582*'Externe blootstelling'!$D$23/2)^K582+L582*(TANH(((H582*'Externe blootstelling'!$D$23)/(2*M582))-2)-TANH(-2))/(1-TANH(-2))</f>
        <v>1.9275584615477304</v>
      </c>
      <c r="O582" s="83">
        <f>IF(N582=1,1+(I582-1)*H582*'Externe blootstelling'!$D$23/2,1+(I582-1)*(N582^(H582*'Externe blootstelling'!$D$23/2)-1)/(N582-1))</f>
        <v>11.278261076041325</v>
      </c>
      <c r="P582" s="67">
        <f>G582*EXP(-H582*'Externe blootstelling'!$D$23/2)*O582</f>
        <v>5.4210355544109606E-2</v>
      </c>
      <c r="Q582" s="68"/>
    </row>
    <row r="583" spans="1:17" x14ac:dyDescent="0.2">
      <c r="A583" s="217"/>
      <c r="B583" s="64" t="s">
        <v>104</v>
      </c>
      <c r="C583" s="66">
        <v>0.158635</v>
      </c>
      <c r="D583" s="66">
        <f t="shared" si="40"/>
        <v>2.5381599999999997E-14</v>
      </c>
      <c r="E583" s="66">
        <v>7.1300000000000001E-3</v>
      </c>
      <c r="F583" s="66">
        <f>_xlfn.IFNA(INDEX('hp (pSv cm2)'!$B$2:$B$52,MATCH($C583,'hp (pSv cm2)'!$A$2:$A$52,1))+($C583-INDEX('hp (pSv cm2)'!$A$2:$A$52,MATCH($C583,'hp (pSv cm2)'!$A$2:$A$52,1)))*(INDEX('hp (pSv cm2)'!$B$2:$B$52,MATCH($C583,'hp (pSv cm2)'!$A$2:$A$52,1)+1)-INDEX('hp (pSv cm2)'!$B$2:$B$52,MATCH($C583,'hp (pSv cm2)'!$A$2:$A$52,1)))/(INDEX('hp (pSv cm2)'!$A$2:$A$52,MATCH($C583,'hp (pSv cm2)'!$A$2:$A$52,1)+1)-INDEX('hp (pSv cm2)'!$A$2:$A$52,MATCH($C583,'hp (pSv cm2)'!$A$2:$A$52,1))),$C583*'hp (pSv cm2)'!$B$2/'hp (pSv cm2)'!$A$2)</f>
        <v>0.79069310000000004</v>
      </c>
      <c r="G583" s="67">
        <f t="shared" si="41"/>
        <v>5.6376418030000004E-3</v>
      </c>
      <c r="H583" s="83">
        <f>_xlfn.IFNA(0.997*(INDEX('Mass attenuation coefficients'!$B$2:$B$37,MATCH($C583,'Mass attenuation coefficients'!$A$2:$A$37,1))+($C583-INDEX('Mass attenuation coefficients'!$A$2:$A$37,MATCH($C583,'Mass attenuation coefficients'!$A$2:$A$37,1)))*(INDEX('Mass attenuation coefficients'!$B$2:$B$37,MATCH($C583,'Mass attenuation coefficients'!$A$2:$A$37,1)+1)-INDEX('Mass attenuation coefficients'!$B$2:$B$37,MATCH($C583,'Mass attenuation coefficients'!$A$2:$A$37,1)))/(INDEX('Mass attenuation coefficients'!$A$2:$A$37,MATCH($C583,'Mass attenuation coefficients'!$A$2:$A$37,1)+1)-INDEX('Mass attenuation coefficients'!$A$2:$A$37,MATCH($C583,'Mass attenuation coefficients'!$A$2:$A$37,1)))),0.997*$C583*'Mass attenuation coefficients'!$B$2/'Mass attenuation coefficients'!$A$2)</f>
        <v>0.14772404435</v>
      </c>
      <c r="I583" s="83">
        <f>_xlfn.IFNA(INDEX('Shultis Faw'!$C$2:$C$26,MATCH($C583,'Shultis Faw'!$A$2:$A$26,1))+($C583-INDEX('Shultis Faw'!$A$2:$A$26,MATCH($C583,'Shultis Faw'!$A$2:$A$26,1)))*(INDEX('Shultis Faw'!$C$2:$C$26,MATCH($C583,'Shultis Faw'!$A$2:$A$26,1)+1)-INDEX('Shultis Faw'!$C$2:$C$26,MATCH($C583,'Shultis Faw'!$A$2:$A$26,1)))/(INDEX('Shultis Faw'!$A$2:$A$26,MATCH($C583,'Shultis Faw'!$A$2:$A$26,1)+1)-INDEX('Shultis Faw'!$A$2:$A$26,MATCH($C583,'Shultis Faw'!$A$2:$A$26,1))),$C583*'Shultis Faw'!$C$2/'Shultis Faw'!$A$2)</f>
        <v>3.8246386999999999</v>
      </c>
      <c r="J583" s="83">
        <f>_xlfn.IFNA(INDEX('Shultis Faw'!$D$2:$D$26,MATCH($C583,'Shultis Faw'!$A$2:$A$26,1))+($C583-INDEX('Shultis Faw'!$A$2:$A$26,MATCH($C583,'Shultis Faw'!$A$2:$A$26,1)))*(INDEX('Shultis Faw'!$D$2:$D$26,MATCH($C583,'Shultis Faw'!$A$2:$A$26,1)+1)-INDEX('Shultis Faw'!$D$2:$D$26,MATCH($C583,'Shultis Faw'!$A$2:$A$26,1)))/(INDEX('Shultis Faw'!$A$2:$A$26,MATCH($C583,'Shultis Faw'!$A$2:$A$26,1)+1)-INDEX('Shultis Faw'!$A$2:$A$26,MATCH($C583,'Shultis Faw'!$A$2:$A$26,1))),$C583*'Shultis Faw'!$D$2/'Shultis Faw'!$A$2)</f>
        <v>2.2268024</v>
      </c>
      <c r="K583" s="83">
        <f>_xlfn.IFNA(INDEX('Shultis Faw'!$B$2:$B$26,MATCH($C583,'Shultis Faw'!$A$2:$A$26,1))+($C583-INDEX('Shultis Faw'!$A$2:$A$26,MATCH($C583,'Shultis Faw'!$A$2:$A$26,1)))*(INDEX('Shultis Faw'!$B$2:$B$26,MATCH($C583,'Shultis Faw'!$A$2:$A$26,1)+1)-INDEX('Shultis Faw'!$B$2:$B$26,MATCH($C583,'Shultis Faw'!$A$2:$A$26,1)))/(INDEX('Shultis Faw'!$A$2:$A$26,MATCH($C583,'Shultis Faw'!$A$2:$A$26,1)+1)-INDEX('Shultis Faw'!$A$2:$A$26,MATCH($C583,'Shultis Faw'!$A$2:$A$26,1))),$C583*'Shultis Faw'!$B$2/'Shultis Faw'!$A$2)</f>
        <v>-0.18344569999999999</v>
      </c>
      <c r="L583" s="83">
        <f>_xlfn.IFNA(INDEX('Shultis Faw'!$E$2:$E$26,MATCH($C583,'Shultis Faw'!$A$2:$A$26,1))+($C583-INDEX('Shultis Faw'!$A$2:$A$26,MATCH($C583,'Shultis Faw'!$A$2:$A$26,1)))*(INDEX('Shultis Faw'!$E$2:$E$26,MATCH($C583,'Shultis Faw'!$A$2:$A$26,1)+1)-INDEX('Shultis Faw'!$E$2:$E$26,MATCH($C583,'Shultis Faw'!$A$2:$A$26,1)))/(INDEX('Shultis Faw'!$A$2:$A$26,MATCH($C583,'Shultis Faw'!$A$2:$A$26,1)+1)-INDEX('Shultis Faw'!$A$2:$A$26,MATCH($C583,'Shultis Faw'!$A$2:$A$26,1))),$C583*'Shultis Faw'!$E$2/'Shultis Faw'!$A$2)</f>
        <v>7.7648190000000006E-2</v>
      </c>
      <c r="M583" s="83">
        <f>_xlfn.IFNA(INDEX('Shultis Faw'!$F$2:$F$26,MATCH($C583,'Shultis Faw'!$A$2:$A$26,1))+($C583-INDEX('Shultis Faw'!$A$2:$A$26,MATCH($C583,'Shultis Faw'!$A$2:$A$26,1)))*(INDEX('Shultis Faw'!$F$2:$F$26,MATCH($C583,'Shultis Faw'!$A$2:$A$26,1)+1)-INDEX('Shultis Faw'!$F$2:$F$26,MATCH($C583,'Shultis Faw'!$A$2:$A$26,1)))/(INDEX('Shultis Faw'!$A$2:$A$26,MATCH($C583,'Shultis Faw'!$A$2:$A$26,1)+1)-INDEX('Shultis Faw'!$A$2:$A$26,MATCH($C583,'Shultis Faw'!$A$2:$A$26,1))),$C583*'Shultis Faw'!$F$2/'Shultis Faw'!$A$2)</f>
        <v>14.243537</v>
      </c>
      <c r="N583" s="83">
        <f>J583*(H583*'Externe blootstelling'!$D$23/2)^K583+L583*(TANH(((H583*'Externe blootstelling'!$D$23)/(2*M583))-2)-TANH(-2))/(1-TANH(-2))</f>
        <v>1.9248977910321543</v>
      </c>
      <c r="O583" s="83">
        <f>IF(N583=1,1+(I583-1)*H583*'Externe blootstelling'!$D$23/2,1+(I583-1)*(N583^(H583*'Externe blootstelling'!$D$23/2)-1)/(N583-1))</f>
        <v>10.979975800166521</v>
      </c>
      <c r="P583" s="67">
        <f>G583*EXP(-H583*'Externe blootstelling'!$D$23/2)*O583</f>
        <v>6.7509175222882486E-3</v>
      </c>
      <c r="Q583" s="68"/>
    </row>
    <row r="584" spans="1:17" x14ac:dyDescent="0.2">
      <c r="A584" s="217"/>
      <c r="B584" s="64" t="s">
        <v>104</v>
      </c>
      <c r="C584" s="66">
        <v>0.1658</v>
      </c>
      <c r="D584" s="66">
        <f t="shared" si="40"/>
        <v>2.6527999999999999E-14</v>
      </c>
      <c r="E584" s="66">
        <v>5.4000000000000005E-5</v>
      </c>
      <c r="F584" s="66">
        <f>_xlfn.IFNA(INDEX('hp (pSv cm2)'!$B$2:$B$52,MATCH($C584,'hp (pSv cm2)'!$A$2:$A$52,1))+($C584-INDEX('hp (pSv cm2)'!$A$2:$A$52,MATCH($C584,'hp (pSv cm2)'!$A$2:$A$52,1)))*(INDEX('hp (pSv cm2)'!$B$2:$B$52,MATCH($C584,'hp (pSv cm2)'!$A$2:$A$52,1)+1)-INDEX('hp (pSv cm2)'!$B$2:$B$52,MATCH($C584,'hp (pSv cm2)'!$A$2:$A$52,1)))/(INDEX('hp (pSv cm2)'!$A$2:$A$52,MATCH($C584,'hp (pSv cm2)'!$A$2:$A$52,1)+1)-INDEX('hp (pSv cm2)'!$A$2:$A$52,MATCH($C584,'hp (pSv cm2)'!$A$2:$A$52,1))),$C584*'hp (pSv cm2)'!$B$2/'hp (pSv cm2)'!$A$2)</f>
        <v>0.82694800000000002</v>
      </c>
      <c r="G584" s="67">
        <f t="shared" si="41"/>
        <v>4.4655192000000004E-5</v>
      </c>
      <c r="H584" s="83">
        <f>_xlfn.IFNA(0.997*(INDEX('Mass attenuation coefficients'!$B$2:$B$37,MATCH($C584,'Mass attenuation coefficients'!$A$2:$A$37,1))+($C584-INDEX('Mass attenuation coefficients'!$A$2:$A$37,MATCH($C584,'Mass attenuation coefficients'!$A$2:$A$37,1)))*(INDEX('Mass attenuation coefficients'!$B$2:$B$37,MATCH($C584,'Mass attenuation coefficients'!$A$2:$A$37,1)+1)-INDEX('Mass attenuation coefficients'!$B$2:$B$37,MATCH($C584,'Mass attenuation coefficients'!$A$2:$A$37,1)))/(INDEX('Mass attenuation coefficients'!$A$2:$A$37,MATCH($C584,'Mass attenuation coefficients'!$A$2:$A$37,1)+1)-INDEX('Mass attenuation coefficients'!$A$2:$A$37,MATCH($C584,'Mass attenuation coefficients'!$A$2:$A$37,1)))),0.997*$C584*'Mass attenuation coefficients'!$B$2/'Mass attenuation coefficients'!$A$2)</f>
        <v>0.14579529799999999</v>
      </c>
      <c r="I584" s="83">
        <f>_xlfn.IFNA(INDEX('Shultis Faw'!$C$2:$C$26,MATCH($C584,'Shultis Faw'!$A$2:$A$26,1))+($C584-INDEX('Shultis Faw'!$A$2:$A$26,MATCH($C584,'Shultis Faw'!$A$2:$A$26,1)))*(INDEX('Shultis Faw'!$C$2:$C$26,MATCH($C584,'Shultis Faw'!$A$2:$A$26,1)+1)-INDEX('Shultis Faw'!$C$2:$C$26,MATCH($C584,'Shultis Faw'!$A$2:$A$26,1)))/(INDEX('Shultis Faw'!$A$2:$A$26,MATCH($C584,'Shultis Faw'!$A$2:$A$26,1)+1)-INDEX('Shultis Faw'!$A$2:$A$26,MATCH($C584,'Shultis Faw'!$A$2:$A$26,1))),$C584*'Shultis Faw'!$C$2/'Shultis Faw'!$A$2)</f>
        <v>3.7645960000000001</v>
      </c>
      <c r="J584" s="83">
        <f>_xlfn.IFNA(INDEX('Shultis Faw'!$D$2:$D$26,MATCH($C584,'Shultis Faw'!$A$2:$A$26,1))+($C584-INDEX('Shultis Faw'!$A$2:$A$26,MATCH($C584,'Shultis Faw'!$A$2:$A$26,1)))*(INDEX('Shultis Faw'!$D$2:$D$26,MATCH($C584,'Shultis Faw'!$A$2:$A$26,1)+1)-INDEX('Shultis Faw'!$D$2:$D$26,MATCH($C584,'Shultis Faw'!$A$2:$A$26,1)))/(INDEX('Shultis Faw'!$A$2:$A$26,MATCH($C584,'Shultis Faw'!$A$2:$A$26,1)+1)-INDEX('Shultis Faw'!$A$2:$A$26,MATCH($C584,'Shultis Faw'!$A$2:$A$26,1))),$C584*'Shultis Faw'!$D$2/'Shultis Faw'!$A$2)</f>
        <v>2.2141920000000002</v>
      </c>
      <c r="K584" s="83">
        <f>_xlfn.IFNA(INDEX('Shultis Faw'!$B$2:$B$26,MATCH($C584,'Shultis Faw'!$A$2:$A$26,1))+($C584-INDEX('Shultis Faw'!$A$2:$A$26,MATCH($C584,'Shultis Faw'!$A$2:$A$26,1)))*(INDEX('Shultis Faw'!$B$2:$B$26,MATCH($C584,'Shultis Faw'!$A$2:$A$26,1)+1)-INDEX('Shultis Faw'!$B$2:$B$26,MATCH($C584,'Shultis Faw'!$A$2:$A$26,1)))/(INDEX('Shultis Faw'!$A$2:$A$26,MATCH($C584,'Shultis Faw'!$A$2:$A$26,1)+1)-INDEX('Shultis Faw'!$A$2:$A$26,MATCH($C584,'Shultis Faw'!$A$2:$A$26,1))),$C584*'Shultis Faw'!$B$2/'Shultis Faw'!$A$2)</f>
        <v>-0.18215599999999998</v>
      </c>
      <c r="L584" s="83">
        <f>_xlfn.IFNA(INDEX('Shultis Faw'!$E$2:$E$26,MATCH($C584,'Shultis Faw'!$A$2:$A$26,1))+($C584-INDEX('Shultis Faw'!$A$2:$A$26,MATCH($C584,'Shultis Faw'!$A$2:$A$26,1)))*(INDEX('Shultis Faw'!$E$2:$E$26,MATCH($C584,'Shultis Faw'!$A$2:$A$26,1)+1)-INDEX('Shultis Faw'!$E$2:$E$26,MATCH($C584,'Shultis Faw'!$A$2:$A$26,1)))/(INDEX('Shultis Faw'!$A$2:$A$26,MATCH($C584,'Shultis Faw'!$A$2:$A$26,1)+1)-INDEX('Shultis Faw'!$A$2:$A$26,MATCH($C584,'Shultis Faw'!$A$2:$A$26,1))),$C584*'Shultis Faw'!$E$2/'Shultis Faw'!$A$2)</f>
        <v>7.7605199999999999E-2</v>
      </c>
      <c r="M584" s="83">
        <f>_xlfn.IFNA(INDEX('Shultis Faw'!$F$2:$F$26,MATCH($C584,'Shultis Faw'!$A$2:$A$26,1))+($C584-INDEX('Shultis Faw'!$A$2:$A$26,MATCH($C584,'Shultis Faw'!$A$2:$A$26,1)))*(INDEX('Shultis Faw'!$F$2:$F$26,MATCH($C584,'Shultis Faw'!$A$2:$A$26,1)+1)-INDEX('Shultis Faw'!$F$2:$F$26,MATCH($C584,'Shultis Faw'!$A$2:$A$26,1)))/(INDEX('Shultis Faw'!$A$2:$A$26,MATCH($C584,'Shultis Faw'!$A$2:$A$26,1)+1)-INDEX('Shultis Faw'!$A$2:$A$26,MATCH($C584,'Shultis Faw'!$A$2:$A$26,1))),$C584*'Shultis Faw'!$F$2/'Shultis Faw'!$A$2)</f>
        <v>14.28796</v>
      </c>
      <c r="N584" s="83">
        <f>J584*(H584*'Externe blootstelling'!$D$23/2)^K584+L584*(TANH(((H584*'Externe blootstelling'!$D$23)/(2*M584))-2)-TANH(-2))/(1-TANH(-2))</f>
        <v>1.9205458069630204</v>
      </c>
      <c r="O584" s="83">
        <f>IF(N584=1,1+(I584-1)*H584*'Externe blootstelling'!$D$23/2,1+(I584-1)*(N584^(H584*'Externe blootstelling'!$D$23/2)-1)/(N584-1))</f>
        <v>10.511359016979823</v>
      </c>
      <c r="P584" s="67">
        <f>G584*EXP(-H584*'Externe blootstelling'!$D$23/2)*O584</f>
        <v>5.2693789185019707E-5</v>
      </c>
      <c r="Q584" s="68"/>
    </row>
    <row r="585" spans="1:17" x14ac:dyDescent="0.2">
      <c r="A585" s="217"/>
      <c r="B585" s="64" t="s">
        <v>104</v>
      </c>
      <c r="C585" s="66">
        <v>0.17565</v>
      </c>
      <c r="D585" s="66">
        <f t="shared" si="40"/>
        <v>2.8103999999999998E-14</v>
      </c>
      <c r="E585" s="66">
        <v>1.7000000000000001E-4</v>
      </c>
      <c r="F585" s="66">
        <f>_xlfn.IFNA(INDEX('hp (pSv cm2)'!$B$2:$B$52,MATCH($C585,'hp (pSv cm2)'!$A$2:$A$52,1))+($C585-INDEX('hp (pSv cm2)'!$A$2:$A$52,MATCH($C585,'hp (pSv cm2)'!$A$2:$A$52,1)))*(INDEX('hp (pSv cm2)'!$B$2:$B$52,MATCH($C585,'hp (pSv cm2)'!$A$2:$A$52,1)+1)-INDEX('hp (pSv cm2)'!$B$2:$B$52,MATCH($C585,'hp (pSv cm2)'!$A$2:$A$52,1)))/(INDEX('hp (pSv cm2)'!$A$2:$A$52,MATCH($C585,'hp (pSv cm2)'!$A$2:$A$52,1)+1)-INDEX('hp (pSv cm2)'!$A$2:$A$52,MATCH($C585,'hp (pSv cm2)'!$A$2:$A$52,1))),$C585*'hp (pSv cm2)'!$B$2/'hp (pSv cm2)'!$A$2)</f>
        <v>0.87678900000000004</v>
      </c>
      <c r="G585" s="67">
        <f t="shared" si="41"/>
        <v>1.4905413000000002E-4</v>
      </c>
      <c r="H585" s="83">
        <f>_xlfn.IFNA(0.997*(INDEX('Mass attenuation coefficients'!$B$2:$B$37,MATCH($C585,'Mass attenuation coefficients'!$A$2:$A$37,1))+($C585-INDEX('Mass attenuation coefficients'!$A$2:$A$37,MATCH($C585,'Mass attenuation coefficients'!$A$2:$A$37,1)))*(INDEX('Mass attenuation coefficients'!$B$2:$B$37,MATCH($C585,'Mass attenuation coefficients'!$A$2:$A$37,1)+1)-INDEX('Mass attenuation coefficients'!$B$2:$B$37,MATCH($C585,'Mass attenuation coefficients'!$A$2:$A$37,1)))/(INDEX('Mass attenuation coefficients'!$A$2:$A$37,MATCH($C585,'Mass attenuation coefficients'!$A$2:$A$37,1)+1)-INDEX('Mass attenuation coefficients'!$A$2:$A$37,MATCH($C585,'Mass attenuation coefficients'!$A$2:$A$37,1)))),0.997*$C585*'Mass attenuation coefficients'!$B$2/'Mass attenuation coefficients'!$A$2)</f>
        <v>0.14314377649999999</v>
      </c>
      <c r="I585" s="83">
        <f>_xlfn.IFNA(INDEX('Shultis Faw'!$C$2:$C$26,MATCH($C585,'Shultis Faw'!$A$2:$A$26,1))+($C585-INDEX('Shultis Faw'!$A$2:$A$26,MATCH($C585,'Shultis Faw'!$A$2:$A$26,1)))*(INDEX('Shultis Faw'!$C$2:$C$26,MATCH($C585,'Shultis Faw'!$A$2:$A$26,1)+1)-INDEX('Shultis Faw'!$C$2:$C$26,MATCH($C585,'Shultis Faw'!$A$2:$A$26,1)))/(INDEX('Shultis Faw'!$A$2:$A$26,MATCH($C585,'Shultis Faw'!$A$2:$A$26,1)+1)-INDEX('Shultis Faw'!$A$2:$A$26,MATCH($C585,'Shultis Faw'!$A$2:$A$26,1))),$C585*'Shultis Faw'!$C$2/'Shultis Faw'!$A$2)</f>
        <v>3.6820529999999998</v>
      </c>
      <c r="J585" s="83">
        <f>_xlfn.IFNA(INDEX('Shultis Faw'!$D$2:$D$26,MATCH($C585,'Shultis Faw'!$A$2:$A$26,1))+($C585-INDEX('Shultis Faw'!$A$2:$A$26,MATCH($C585,'Shultis Faw'!$A$2:$A$26,1)))*(INDEX('Shultis Faw'!$D$2:$D$26,MATCH($C585,'Shultis Faw'!$A$2:$A$26,1)+1)-INDEX('Shultis Faw'!$D$2:$D$26,MATCH($C585,'Shultis Faw'!$A$2:$A$26,1)))/(INDEX('Shultis Faw'!$A$2:$A$26,MATCH($C585,'Shultis Faw'!$A$2:$A$26,1)+1)-INDEX('Shultis Faw'!$A$2:$A$26,MATCH($C585,'Shultis Faw'!$A$2:$A$26,1))),$C585*'Shultis Faw'!$D$2/'Shultis Faw'!$A$2)</f>
        <v>2.1968559999999999</v>
      </c>
      <c r="K585" s="83">
        <f>_xlfn.IFNA(INDEX('Shultis Faw'!$B$2:$B$26,MATCH($C585,'Shultis Faw'!$A$2:$A$26,1))+($C585-INDEX('Shultis Faw'!$A$2:$A$26,MATCH($C585,'Shultis Faw'!$A$2:$A$26,1)))*(INDEX('Shultis Faw'!$B$2:$B$26,MATCH($C585,'Shultis Faw'!$A$2:$A$26,1)+1)-INDEX('Shultis Faw'!$B$2:$B$26,MATCH($C585,'Shultis Faw'!$A$2:$A$26,1)))/(INDEX('Shultis Faw'!$A$2:$A$26,MATCH($C585,'Shultis Faw'!$A$2:$A$26,1)+1)-INDEX('Shultis Faw'!$A$2:$A$26,MATCH($C585,'Shultis Faw'!$A$2:$A$26,1))),$C585*'Shultis Faw'!$B$2/'Shultis Faw'!$A$2)</f>
        <v>-0.18038299999999999</v>
      </c>
      <c r="L585" s="83">
        <f>_xlfn.IFNA(INDEX('Shultis Faw'!$E$2:$E$26,MATCH($C585,'Shultis Faw'!$A$2:$A$26,1))+($C585-INDEX('Shultis Faw'!$A$2:$A$26,MATCH($C585,'Shultis Faw'!$A$2:$A$26,1)))*(INDEX('Shultis Faw'!$E$2:$E$26,MATCH($C585,'Shultis Faw'!$A$2:$A$26,1)+1)-INDEX('Shultis Faw'!$E$2:$E$26,MATCH($C585,'Shultis Faw'!$A$2:$A$26,1)))/(INDEX('Shultis Faw'!$A$2:$A$26,MATCH($C585,'Shultis Faw'!$A$2:$A$26,1)+1)-INDEX('Shultis Faw'!$A$2:$A$26,MATCH($C585,'Shultis Faw'!$A$2:$A$26,1))),$C585*'Shultis Faw'!$E$2/'Shultis Faw'!$A$2)</f>
        <v>7.7546100000000007E-2</v>
      </c>
      <c r="M585" s="83">
        <f>_xlfn.IFNA(INDEX('Shultis Faw'!$F$2:$F$26,MATCH($C585,'Shultis Faw'!$A$2:$A$26,1))+($C585-INDEX('Shultis Faw'!$A$2:$A$26,MATCH($C585,'Shultis Faw'!$A$2:$A$26,1)))*(INDEX('Shultis Faw'!$F$2:$F$26,MATCH($C585,'Shultis Faw'!$A$2:$A$26,1)+1)-INDEX('Shultis Faw'!$F$2:$F$26,MATCH($C585,'Shultis Faw'!$A$2:$A$26,1)))/(INDEX('Shultis Faw'!$A$2:$A$26,MATCH($C585,'Shultis Faw'!$A$2:$A$26,1)+1)-INDEX('Shultis Faw'!$A$2:$A$26,MATCH($C585,'Shultis Faw'!$A$2:$A$26,1))),$C585*'Shultis Faw'!$F$2/'Shultis Faw'!$A$2)</f>
        <v>14.349029999999999</v>
      </c>
      <c r="N585" s="83">
        <f>J585*(H585*'Externe blootstelling'!$D$23/2)^K585+L585*(TANH(((H585*'Externe blootstelling'!$D$23)/(2*M585))-2)-TANH(-2))/(1-TANH(-2))</f>
        <v>1.9144707112275132</v>
      </c>
      <c r="O585" s="83">
        <f>IF(N585=1,1+(I585-1)*H585*'Externe blootstelling'!$D$23/2,1+(I585-1)*(N585^(H585*'Externe blootstelling'!$D$23/2)-1)/(N585-1))</f>
        <v>9.8947994222291431</v>
      </c>
      <c r="P585" s="67">
        <f>G585*EXP(-H585*'Externe blootstelling'!$D$23/2)*O585</f>
        <v>1.722870858683272E-4</v>
      </c>
      <c r="Q585" s="68"/>
    </row>
    <row r="586" spans="1:17" x14ac:dyDescent="0.2">
      <c r="A586" s="217"/>
      <c r="B586" s="64" t="s">
        <v>104</v>
      </c>
      <c r="C586" s="66">
        <v>0.17730000000000001</v>
      </c>
      <c r="D586" s="66">
        <f t="shared" si="40"/>
        <v>2.8367999999999997E-14</v>
      </c>
      <c r="E586" s="66">
        <v>4.6999999999999999E-4</v>
      </c>
      <c r="F586" s="66">
        <f>_xlfn.IFNA(INDEX('hp (pSv cm2)'!$B$2:$B$52,MATCH($C586,'hp (pSv cm2)'!$A$2:$A$52,1))+($C586-INDEX('hp (pSv cm2)'!$A$2:$A$52,MATCH($C586,'hp (pSv cm2)'!$A$2:$A$52,1)))*(INDEX('hp (pSv cm2)'!$B$2:$B$52,MATCH($C586,'hp (pSv cm2)'!$A$2:$A$52,1)+1)-INDEX('hp (pSv cm2)'!$B$2:$B$52,MATCH($C586,'hp (pSv cm2)'!$A$2:$A$52,1)))/(INDEX('hp (pSv cm2)'!$A$2:$A$52,MATCH($C586,'hp (pSv cm2)'!$A$2:$A$52,1)+1)-INDEX('hp (pSv cm2)'!$A$2:$A$52,MATCH($C586,'hp (pSv cm2)'!$A$2:$A$52,1))),$C586*'hp (pSv cm2)'!$B$2/'hp (pSv cm2)'!$A$2)</f>
        <v>0.88513799999999998</v>
      </c>
      <c r="G586" s="67">
        <f t="shared" si="41"/>
        <v>4.1601485999999996E-4</v>
      </c>
      <c r="H586" s="83">
        <f>_xlfn.IFNA(0.997*(INDEX('Mass attenuation coefficients'!$B$2:$B$37,MATCH($C586,'Mass attenuation coefficients'!$A$2:$A$37,1))+($C586-INDEX('Mass attenuation coefficients'!$A$2:$A$37,MATCH($C586,'Mass attenuation coefficients'!$A$2:$A$37,1)))*(INDEX('Mass attenuation coefficients'!$B$2:$B$37,MATCH($C586,'Mass attenuation coefficients'!$A$2:$A$37,1)+1)-INDEX('Mass attenuation coefficients'!$B$2:$B$37,MATCH($C586,'Mass attenuation coefficients'!$A$2:$A$37,1)))/(INDEX('Mass attenuation coefficients'!$A$2:$A$37,MATCH($C586,'Mass attenuation coefficients'!$A$2:$A$37,1)+1)-INDEX('Mass attenuation coefficients'!$A$2:$A$37,MATCH($C586,'Mass attenuation coefficients'!$A$2:$A$37,1)))),0.997*$C586*'Mass attenuation coefficients'!$B$2/'Mass attenuation coefficients'!$A$2)</f>
        <v>0.142699613</v>
      </c>
      <c r="I586" s="83">
        <f>_xlfn.IFNA(INDEX('Shultis Faw'!$C$2:$C$26,MATCH($C586,'Shultis Faw'!$A$2:$A$26,1))+($C586-INDEX('Shultis Faw'!$A$2:$A$26,MATCH($C586,'Shultis Faw'!$A$2:$A$26,1)))*(INDEX('Shultis Faw'!$C$2:$C$26,MATCH($C586,'Shultis Faw'!$A$2:$A$26,1)+1)-INDEX('Shultis Faw'!$C$2:$C$26,MATCH($C586,'Shultis Faw'!$A$2:$A$26,1)))/(INDEX('Shultis Faw'!$A$2:$A$26,MATCH($C586,'Shultis Faw'!$A$2:$A$26,1)+1)-INDEX('Shultis Faw'!$A$2:$A$26,MATCH($C586,'Shultis Faw'!$A$2:$A$26,1))),$C586*'Shultis Faw'!$C$2/'Shultis Faw'!$A$2)</f>
        <v>3.6682259999999998</v>
      </c>
      <c r="J586" s="83">
        <f>_xlfn.IFNA(INDEX('Shultis Faw'!$D$2:$D$26,MATCH($C586,'Shultis Faw'!$A$2:$A$26,1))+($C586-INDEX('Shultis Faw'!$A$2:$A$26,MATCH($C586,'Shultis Faw'!$A$2:$A$26,1)))*(INDEX('Shultis Faw'!$D$2:$D$26,MATCH($C586,'Shultis Faw'!$A$2:$A$26,1)+1)-INDEX('Shultis Faw'!$D$2:$D$26,MATCH($C586,'Shultis Faw'!$A$2:$A$26,1)))/(INDEX('Shultis Faw'!$A$2:$A$26,MATCH($C586,'Shultis Faw'!$A$2:$A$26,1)+1)-INDEX('Shultis Faw'!$A$2:$A$26,MATCH($C586,'Shultis Faw'!$A$2:$A$26,1))),$C586*'Shultis Faw'!$D$2/'Shultis Faw'!$A$2)</f>
        <v>2.1939519999999999</v>
      </c>
      <c r="K586" s="83">
        <f>_xlfn.IFNA(INDEX('Shultis Faw'!$B$2:$B$26,MATCH($C586,'Shultis Faw'!$A$2:$A$26,1))+($C586-INDEX('Shultis Faw'!$A$2:$A$26,MATCH($C586,'Shultis Faw'!$A$2:$A$26,1)))*(INDEX('Shultis Faw'!$B$2:$B$26,MATCH($C586,'Shultis Faw'!$A$2:$A$26,1)+1)-INDEX('Shultis Faw'!$B$2:$B$26,MATCH($C586,'Shultis Faw'!$A$2:$A$26,1)))/(INDEX('Shultis Faw'!$A$2:$A$26,MATCH($C586,'Shultis Faw'!$A$2:$A$26,1)+1)-INDEX('Shultis Faw'!$A$2:$A$26,MATCH($C586,'Shultis Faw'!$A$2:$A$26,1))),$C586*'Shultis Faw'!$B$2/'Shultis Faw'!$A$2)</f>
        <v>-0.180086</v>
      </c>
      <c r="L586" s="83">
        <f>_xlfn.IFNA(INDEX('Shultis Faw'!$E$2:$E$26,MATCH($C586,'Shultis Faw'!$A$2:$A$26,1))+($C586-INDEX('Shultis Faw'!$A$2:$A$26,MATCH($C586,'Shultis Faw'!$A$2:$A$26,1)))*(INDEX('Shultis Faw'!$E$2:$E$26,MATCH($C586,'Shultis Faw'!$A$2:$A$26,1)+1)-INDEX('Shultis Faw'!$E$2:$E$26,MATCH($C586,'Shultis Faw'!$A$2:$A$26,1)))/(INDEX('Shultis Faw'!$A$2:$A$26,MATCH($C586,'Shultis Faw'!$A$2:$A$26,1)+1)-INDEX('Shultis Faw'!$A$2:$A$26,MATCH($C586,'Shultis Faw'!$A$2:$A$26,1))),$C586*'Shultis Faw'!$E$2/'Shultis Faw'!$A$2)</f>
        <v>7.75362E-2</v>
      </c>
      <c r="M586" s="83">
        <f>_xlfn.IFNA(INDEX('Shultis Faw'!$F$2:$F$26,MATCH($C586,'Shultis Faw'!$A$2:$A$26,1))+($C586-INDEX('Shultis Faw'!$A$2:$A$26,MATCH($C586,'Shultis Faw'!$A$2:$A$26,1)))*(INDEX('Shultis Faw'!$F$2:$F$26,MATCH($C586,'Shultis Faw'!$A$2:$A$26,1)+1)-INDEX('Shultis Faw'!$F$2:$F$26,MATCH($C586,'Shultis Faw'!$A$2:$A$26,1)))/(INDEX('Shultis Faw'!$A$2:$A$26,MATCH($C586,'Shultis Faw'!$A$2:$A$26,1)+1)-INDEX('Shultis Faw'!$A$2:$A$26,MATCH($C586,'Shultis Faw'!$A$2:$A$26,1))),$C586*'Shultis Faw'!$F$2/'Shultis Faw'!$A$2)</f>
        <v>14.359259999999999</v>
      </c>
      <c r="N586" s="83">
        <f>J586*(H586*'Externe blootstelling'!$D$23/2)^K586+L586*(TANH(((H586*'Externe blootstelling'!$D$23)/(2*M586))-2)-TANH(-2))/(1-TANH(-2))</f>
        <v>1.9134426182198752</v>
      </c>
      <c r="O586" s="83">
        <f>IF(N586=1,1+(I586-1)*H586*'Externe blootstelling'!$D$23/2,1+(I586-1)*(N586^(H586*'Externe blootstelling'!$D$23/2)-1)/(N586-1))</f>
        <v>9.794564547287429</v>
      </c>
      <c r="P586" s="67">
        <f>G586*EXP(-H586*'Externe blootstelling'!$D$23/2)*O586</f>
        <v>4.7916949162593478E-4</v>
      </c>
      <c r="Q586" s="68"/>
    </row>
    <row r="587" spans="1:17" x14ac:dyDescent="0.2">
      <c r="A587" s="217"/>
      <c r="B587" s="64" t="s">
        <v>104</v>
      </c>
      <c r="C587" s="66">
        <v>0.17954000000000001</v>
      </c>
      <c r="D587" s="66">
        <f t="shared" si="40"/>
        <v>2.8726399999999999E-14</v>
      </c>
      <c r="E587" s="66">
        <v>1.5399999999999999E-3</v>
      </c>
      <c r="F587" s="66">
        <f>_xlfn.IFNA(INDEX('hp (pSv cm2)'!$B$2:$B$52,MATCH($C587,'hp (pSv cm2)'!$A$2:$A$52,1))+($C587-INDEX('hp (pSv cm2)'!$A$2:$A$52,MATCH($C587,'hp (pSv cm2)'!$A$2:$A$52,1)))*(INDEX('hp (pSv cm2)'!$B$2:$B$52,MATCH($C587,'hp (pSv cm2)'!$A$2:$A$52,1)+1)-INDEX('hp (pSv cm2)'!$B$2:$B$52,MATCH($C587,'hp (pSv cm2)'!$A$2:$A$52,1)))/(INDEX('hp (pSv cm2)'!$A$2:$A$52,MATCH($C587,'hp (pSv cm2)'!$A$2:$A$52,1)+1)-INDEX('hp (pSv cm2)'!$A$2:$A$52,MATCH($C587,'hp (pSv cm2)'!$A$2:$A$52,1))),$C587*'hp (pSv cm2)'!$B$2/'hp (pSv cm2)'!$A$2)</f>
        <v>0.89647239999999995</v>
      </c>
      <c r="G587" s="67">
        <f t="shared" si="41"/>
        <v>1.3805674959999998E-3</v>
      </c>
      <c r="H587" s="83">
        <f>_xlfn.IFNA(0.997*(INDEX('Mass attenuation coefficients'!$B$2:$B$37,MATCH($C587,'Mass attenuation coefficients'!$A$2:$A$37,1))+($C587-INDEX('Mass attenuation coefficients'!$A$2:$A$37,MATCH($C587,'Mass attenuation coefficients'!$A$2:$A$37,1)))*(INDEX('Mass attenuation coefficients'!$B$2:$B$37,MATCH($C587,'Mass attenuation coefficients'!$A$2:$A$37,1)+1)-INDEX('Mass attenuation coefficients'!$B$2:$B$37,MATCH($C587,'Mass attenuation coefficients'!$A$2:$A$37,1)))/(INDEX('Mass attenuation coefficients'!$A$2:$A$37,MATCH($C587,'Mass attenuation coefficients'!$A$2:$A$37,1)+1)-INDEX('Mass attenuation coefficients'!$A$2:$A$37,MATCH($C587,'Mass attenuation coefficients'!$A$2:$A$37,1)))),0.997*$C587*'Mass attenuation coefficients'!$B$2/'Mass attenuation coefficients'!$A$2)</f>
        <v>0.14209662739999998</v>
      </c>
      <c r="I587" s="83">
        <f>_xlfn.IFNA(INDEX('Shultis Faw'!$C$2:$C$26,MATCH($C587,'Shultis Faw'!$A$2:$A$26,1))+($C587-INDEX('Shultis Faw'!$A$2:$A$26,MATCH($C587,'Shultis Faw'!$A$2:$A$26,1)))*(INDEX('Shultis Faw'!$C$2:$C$26,MATCH($C587,'Shultis Faw'!$A$2:$A$26,1)+1)-INDEX('Shultis Faw'!$C$2:$C$26,MATCH($C587,'Shultis Faw'!$A$2:$A$26,1)))/(INDEX('Shultis Faw'!$A$2:$A$26,MATCH($C587,'Shultis Faw'!$A$2:$A$26,1)+1)-INDEX('Shultis Faw'!$A$2:$A$26,MATCH($C587,'Shultis Faw'!$A$2:$A$26,1))),$C587*'Shultis Faw'!$C$2/'Shultis Faw'!$A$2)</f>
        <v>3.6494548</v>
      </c>
      <c r="J587" s="83">
        <f>_xlfn.IFNA(INDEX('Shultis Faw'!$D$2:$D$26,MATCH($C587,'Shultis Faw'!$A$2:$A$26,1))+($C587-INDEX('Shultis Faw'!$A$2:$A$26,MATCH($C587,'Shultis Faw'!$A$2:$A$26,1)))*(INDEX('Shultis Faw'!$D$2:$D$26,MATCH($C587,'Shultis Faw'!$A$2:$A$26,1)+1)-INDEX('Shultis Faw'!$D$2:$D$26,MATCH($C587,'Shultis Faw'!$A$2:$A$26,1)))/(INDEX('Shultis Faw'!$A$2:$A$26,MATCH($C587,'Shultis Faw'!$A$2:$A$26,1)+1)-INDEX('Shultis Faw'!$A$2:$A$26,MATCH($C587,'Shultis Faw'!$A$2:$A$26,1))),$C587*'Shultis Faw'!$D$2/'Shultis Faw'!$A$2)</f>
        <v>2.1900095999999998</v>
      </c>
      <c r="K587" s="83">
        <f>_xlfn.IFNA(INDEX('Shultis Faw'!$B$2:$B$26,MATCH($C587,'Shultis Faw'!$A$2:$A$26,1))+($C587-INDEX('Shultis Faw'!$A$2:$A$26,MATCH($C587,'Shultis Faw'!$A$2:$A$26,1)))*(INDEX('Shultis Faw'!$B$2:$B$26,MATCH($C587,'Shultis Faw'!$A$2:$A$26,1)+1)-INDEX('Shultis Faw'!$B$2:$B$26,MATCH($C587,'Shultis Faw'!$A$2:$A$26,1)))/(INDEX('Shultis Faw'!$A$2:$A$26,MATCH($C587,'Shultis Faw'!$A$2:$A$26,1)+1)-INDEX('Shultis Faw'!$A$2:$A$26,MATCH($C587,'Shultis Faw'!$A$2:$A$26,1))),$C587*'Shultis Faw'!$B$2/'Shultis Faw'!$A$2)</f>
        <v>-0.1796828</v>
      </c>
      <c r="L587" s="83">
        <f>_xlfn.IFNA(INDEX('Shultis Faw'!$E$2:$E$26,MATCH($C587,'Shultis Faw'!$A$2:$A$26,1))+($C587-INDEX('Shultis Faw'!$A$2:$A$26,MATCH($C587,'Shultis Faw'!$A$2:$A$26,1)))*(INDEX('Shultis Faw'!$E$2:$E$26,MATCH($C587,'Shultis Faw'!$A$2:$A$26,1)+1)-INDEX('Shultis Faw'!$E$2:$E$26,MATCH($C587,'Shultis Faw'!$A$2:$A$26,1)))/(INDEX('Shultis Faw'!$A$2:$A$26,MATCH($C587,'Shultis Faw'!$A$2:$A$26,1)+1)-INDEX('Shultis Faw'!$A$2:$A$26,MATCH($C587,'Shultis Faw'!$A$2:$A$26,1))),$C587*'Shultis Faw'!$E$2/'Shultis Faw'!$A$2)</f>
        <v>7.7522759999999996E-2</v>
      </c>
      <c r="M587" s="83">
        <f>_xlfn.IFNA(INDEX('Shultis Faw'!$F$2:$F$26,MATCH($C587,'Shultis Faw'!$A$2:$A$26,1))+($C587-INDEX('Shultis Faw'!$A$2:$A$26,MATCH($C587,'Shultis Faw'!$A$2:$A$26,1)))*(INDEX('Shultis Faw'!$F$2:$F$26,MATCH($C587,'Shultis Faw'!$A$2:$A$26,1)+1)-INDEX('Shultis Faw'!$F$2:$F$26,MATCH($C587,'Shultis Faw'!$A$2:$A$26,1)))/(INDEX('Shultis Faw'!$A$2:$A$26,MATCH($C587,'Shultis Faw'!$A$2:$A$26,1)+1)-INDEX('Shultis Faw'!$A$2:$A$26,MATCH($C587,'Shultis Faw'!$A$2:$A$26,1))),$C587*'Shultis Faw'!$F$2/'Shultis Faw'!$A$2)</f>
        <v>14.373148</v>
      </c>
      <c r="N587" s="83">
        <f>J587*(H587*'Externe blootstelling'!$D$23/2)^K587+L587*(TANH(((H587*'Externe blootstelling'!$D$23)/(2*M587))-2)-TANH(-2))/(1-TANH(-2))</f>
        <v>1.9120421142844339</v>
      </c>
      <c r="O587" s="83">
        <f>IF(N587=1,1+(I587-1)*H587*'Externe blootstelling'!$D$23/2,1+(I587-1)*(N587^(H587*'Externe blootstelling'!$D$23/2)-1)/(N587-1))</f>
        <v>9.6598588915585051</v>
      </c>
      <c r="P587" s="67">
        <f>G587*EXP(-H587*'Externe blootstelling'!$D$23/2)*O587</f>
        <v>1.5825291154281614E-3</v>
      </c>
      <c r="Q587" s="68"/>
    </row>
    <row r="588" spans="1:17" x14ac:dyDescent="0.2">
      <c r="A588" s="217"/>
      <c r="B588" s="64" t="s">
        <v>104</v>
      </c>
      <c r="C588" s="66">
        <v>0.1993</v>
      </c>
      <c r="D588" s="66">
        <f t="shared" si="40"/>
        <v>3.1887999999999998E-14</v>
      </c>
      <c r="E588" s="66">
        <v>3.0000000000000001E-5</v>
      </c>
      <c r="F588" s="66">
        <f>_xlfn.IFNA(INDEX('hp (pSv cm2)'!$B$2:$B$52,MATCH($C588,'hp (pSv cm2)'!$A$2:$A$52,1))+($C588-INDEX('hp (pSv cm2)'!$A$2:$A$52,MATCH($C588,'hp (pSv cm2)'!$A$2:$A$52,1)))*(INDEX('hp (pSv cm2)'!$B$2:$B$52,MATCH($C588,'hp (pSv cm2)'!$A$2:$A$52,1)+1)-INDEX('hp (pSv cm2)'!$B$2:$B$52,MATCH($C588,'hp (pSv cm2)'!$A$2:$A$52,1)))/(INDEX('hp (pSv cm2)'!$A$2:$A$52,MATCH($C588,'hp (pSv cm2)'!$A$2:$A$52,1)+1)-INDEX('hp (pSv cm2)'!$A$2:$A$52,MATCH($C588,'hp (pSv cm2)'!$A$2:$A$52,1))),$C588*'hp (pSv cm2)'!$B$2/'hp (pSv cm2)'!$A$2)</f>
        <v>0.99645799999999995</v>
      </c>
      <c r="G588" s="67">
        <f t="shared" si="41"/>
        <v>2.9893740000000001E-5</v>
      </c>
      <c r="H588" s="83">
        <f>_xlfn.IFNA(0.997*(INDEX('Mass attenuation coefficients'!$B$2:$B$37,MATCH($C588,'Mass attenuation coefficients'!$A$2:$A$37,1))+($C588-INDEX('Mass attenuation coefficients'!$A$2:$A$37,MATCH($C588,'Mass attenuation coefficients'!$A$2:$A$37,1)))*(INDEX('Mass attenuation coefficients'!$B$2:$B$37,MATCH($C588,'Mass attenuation coefficients'!$A$2:$A$37,1)+1)-INDEX('Mass attenuation coefficients'!$B$2:$B$37,MATCH($C588,'Mass attenuation coefficients'!$A$2:$A$37,1)))/(INDEX('Mass attenuation coefficients'!$A$2:$A$37,MATCH($C588,'Mass attenuation coefficients'!$A$2:$A$37,1)+1)-INDEX('Mass attenuation coefficients'!$A$2:$A$37,MATCH($C588,'Mass attenuation coefficients'!$A$2:$A$37,1)))),0.997*$C588*'Mass attenuation coefficients'!$B$2/'Mass attenuation coefficients'!$A$2)</f>
        <v>0.136777433</v>
      </c>
      <c r="I588" s="83">
        <f>_xlfn.IFNA(INDEX('Shultis Faw'!$C$2:$C$26,MATCH($C588,'Shultis Faw'!$A$2:$A$26,1))+($C588-INDEX('Shultis Faw'!$A$2:$A$26,MATCH($C588,'Shultis Faw'!$A$2:$A$26,1)))*(INDEX('Shultis Faw'!$C$2:$C$26,MATCH($C588,'Shultis Faw'!$A$2:$A$26,1)+1)-INDEX('Shultis Faw'!$C$2:$C$26,MATCH($C588,'Shultis Faw'!$A$2:$A$26,1)))/(INDEX('Shultis Faw'!$A$2:$A$26,MATCH($C588,'Shultis Faw'!$A$2:$A$26,1)+1)-INDEX('Shultis Faw'!$A$2:$A$26,MATCH($C588,'Shultis Faw'!$A$2:$A$26,1))),$C588*'Shultis Faw'!$C$2/'Shultis Faw'!$A$2)</f>
        <v>3.4838660000000004</v>
      </c>
      <c r="J588" s="83">
        <f>_xlfn.IFNA(INDEX('Shultis Faw'!$D$2:$D$26,MATCH($C588,'Shultis Faw'!$A$2:$A$26,1))+($C588-INDEX('Shultis Faw'!$A$2:$A$26,MATCH($C588,'Shultis Faw'!$A$2:$A$26,1)))*(INDEX('Shultis Faw'!$D$2:$D$26,MATCH($C588,'Shultis Faw'!$A$2:$A$26,1)+1)-INDEX('Shultis Faw'!$D$2:$D$26,MATCH($C588,'Shultis Faw'!$A$2:$A$26,1)))/(INDEX('Shultis Faw'!$A$2:$A$26,MATCH($C588,'Shultis Faw'!$A$2:$A$26,1)+1)-INDEX('Shultis Faw'!$A$2:$A$26,MATCH($C588,'Shultis Faw'!$A$2:$A$26,1))),$C588*'Shultis Faw'!$D$2/'Shultis Faw'!$A$2)</f>
        <v>2.1552319999999998</v>
      </c>
      <c r="K588" s="83">
        <f>_xlfn.IFNA(INDEX('Shultis Faw'!$B$2:$B$26,MATCH($C588,'Shultis Faw'!$A$2:$A$26,1))+($C588-INDEX('Shultis Faw'!$A$2:$A$26,MATCH($C588,'Shultis Faw'!$A$2:$A$26,1)))*(INDEX('Shultis Faw'!$B$2:$B$26,MATCH($C588,'Shultis Faw'!$A$2:$A$26,1)+1)-INDEX('Shultis Faw'!$B$2:$B$26,MATCH($C588,'Shultis Faw'!$A$2:$A$26,1)))/(INDEX('Shultis Faw'!$A$2:$A$26,MATCH($C588,'Shultis Faw'!$A$2:$A$26,1)+1)-INDEX('Shultis Faw'!$A$2:$A$26,MATCH($C588,'Shultis Faw'!$A$2:$A$26,1))),$C588*'Shultis Faw'!$B$2/'Shultis Faw'!$A$2)</f>
        <v>-0.176126</v>
      </c>
      <c r="L588" s="83">
        <f>_xlfn.IFNA(INDEX('Shultis Faw'!$E$2:$E$26,MATCH($C588,'Shultis Faw'!$A$2:$A$26,1))+($C588-INDEX('Shultis Faw'!$A$2:$A$26,MATCH($C588,'Shultis Faw'!$A$2:$A$26,1)))*(INDEX('Shultis Faw'!$E$2:$E$26,MATCH($C588,'Shultis Faw'!$A$2:$A$26,1)+1)-INDEX('Shultis Faw'!$E$2:$E$26,MATCH($C588,'Shultis Faw'!$A$2:$A$26,1)))/(INDEX('Shultis Faw'!$A$2:$A$26,MATCH($C588,'Shultis Faw'!$A$2:$A$26,1)+1)-INDEX('Shultis Faw'!$A$2:$A$26,MATCH($C588,'Shultis Faw'!$A$2:$A$26,1))),$C588*'Shultis Faw'!$E$2/'Shultis Faw'!$A$2)</f>
        <v>7.7404199999999992E-2</v>
      </c>
      <c r="M588" s="83">
        <f>_xlfn.IFNA(INDEX('Shultis Faw'!$F$2:$F$26,MATCH($C588,'Shultis Faw'!$A$2:$A$26,1))+($C588-INDEX('Shultis Faw'!$A$2:$A$26,MATCH($C588,'Shultis Faw'!$A$2:$A$26,1)))*(INDEX('Shultis Faw'!$F$2:$F$26,MATCH($C588,'Shultis Faw'!$A$2:$A$26,1)+1)-INDEX('Shultis Faw'!$F$2:$F$26,MATCH($C588,'Shultis Faw'!$A$2:$A$26,1)))/(INDEX('Shultis Faw'!$A$2:$A$26,MATCH($C588,'Shultis Faw'!$A$2:$A$26,1)+1)-INDEX('Shultis Faw'!$A$2:$A$26,MATCH($C588,'Shultis Faw'!$A$2:$A$26,1))),$C588*'Shultis Faw'!$F$2/'Shultis Faw'!$A$2)</f>
        <v>14.495659999999999</v>
      </c>
      <c r="N588" s="83">
        <f>J588*(H588*'Externe blootstelling'!$D$23/2)^K588+L588*(TANH(((H588*'Externe blootstelling'!$D$23)/(2*M588))-2)-TANH(-2))/(1-TANH(-2))</f>
        <v>1.8994490719756452</v>
      </c>
      <c r="O588" s="83">
        <f>IF(N588=1,1+(I588-1)*H588*'Externe blootstelling'!$D$23/2,1+(I588-1)*(N588^(H588*'Externe blootstelling'!$D$23/2)-1)/(N588-1))</f>
        <v>8.5376043999663693</v>
      </c>
      <c r="P588" s="67">
        <f>G588*EXP(-H588*'Externe blootstelling'!$D$23/2)*O588</f>
        <v>3.2801296831381584E-5</v>
      </c>
      <c r="Q588" s="68"/>
    </row>
    <row r="589" spans="1:17" x14ac:dyDescent="0.2">
      <c r="A589" s="217"/>
      <c r="B589" s="64" t="s">
        <v>104</v>
      </c>
      <c r="C589" s="66">
        <v>0.22131999999999999</v>
      </c>
      <c r="D589" s="66">
        <f t="shared" si="40"/>
        <v>3.5411199999999996E-14</v>
      </c>
      <c r="E589" s="66">
        <v>3.5999999999999997E-4</v>
      </c>
      <c r="F589" s="66">
        <f>_xlfn.IFNA(INDEX('hp (pSv cm2)'!$B$2:$B$52,MATCH($C589,'hp (pSv cm2)'!$A$2:$A$52,1))+($C589-INDEX('hp (pSv cm2)'!$A$2:$A$52,MATCH($C589,'hp (pSv cm2)'!$A$2:$A$52,1)))*(INDEX('hp (pSv cm2)'!$B$2:$B$52,MATCH($C589,'hp (pSv cm2)'!$A$2:$A$52,1)+1)-INDEX('hp (pSv cm2)'!$B$2:$B$52,MATCH($C589,'hp (pSv cm2)'!$A$2:$A$52,1)))/(INDEX('hp (pSv cm2)'!$A$2:$A$52,MATCH($C589,'hp (pSv cm2)'!$A$2:$A$52,1)+1)-INDEX('hp (pSv cm2)'!$A$2:$A$52,MATCH($C589,'hp (pSv cm2)'!$A$2:$A$52,1))),$C589*'hp (pSv cm2)'!$B$2/'hp (pSv cm2)'!$A$2)</f>
        <v>1.1087319999999998</v>
      </c>
      <c r="G589" s="67">
        <f t="shared" si="41"/>
        <v>3.991435199999999E-4</v>
      </c>
      <c r="H589" s="83">
        <f>_xlfn.IFNA(0.997*(INDEX('Mass attenuation coefficients'!$B$2:$B$37,MATCH($C589,'Mass attenuation coefficients'!$A$2:$A$37,1))+($C589-INDEX('Mass attenuation coefficients'!$A$2:$A$37,MATCH($C589,'Mass attenuation coefficients'!$A$2:$A$37,1)))*(INDEX('Mass attenuation coefficients'!$B$2:$B$37,MATCH($C589,'Mass attenuation coefficients'!$A$2:$A$37,1)+1)-INDEX('Mass attenuation coefficients'!$B$2:$B$37,MATCH($C589,'Mass attenuation coefficients'!$A$2:$A$37,1)))/(INDEX('Mass attenuation coefficients'!$A$2:$A$37,MATCH($C589,'Mass attenuation coefficients'!$A$2:$A$37,1)+1)-INDEX('Mass attenuation coefficients'!$A$2:$A$37,MATCH($C589,'Mass attenuation coefficients'!$A$2:$A$37,1)))),0.997*$C589*'Mass attenuation coefficients'!$B$2/'Mass attenuation coefficients'!$A$2)</f>
        <v>0.13267788864000002</v>
      </c>
      <c r="I589" s="83">
        <f>_xlfn.IFNA(INDEX('Shultis Faw'!$C$2:$C$26,MATCH($C589,'Shultis Faw'!$A$2:$A$26,1))+($C589-INDEX('Shultis Faw'!$A$2:$A$26,MATCH($C589,'Shultis Faw'!$A$2:$A$26,1)))*(INDEX('Shultis Faw'!$C$2:$C$26,MATCH($C589,'Shultis Faw'!$A$2:$A$26,1)+1)-INDEX('Shultis Faw'!$C$2:$C$26,MATCH($C589,'Shultis Faw'!$A$2:$A$26,1)))/(INDEX('Shultis Faw'!$A$2:$A$26,MATCH($C589,'Shultis Faw'!$A$2:$A$26,1)+1)-INDEX('Shultis Faw'!$A$2:$A$26,MATCH($C589,'Shultis Faw'!$A$2:$A$26,1))),$C589*'Shultis Faw'!$C$2/'Shultis Faw'!$A$2)</f>
        <v>3.3590344000000001</v>
      </c>
      <c r="J589" s="83">
        <f>_xlfn.IFNA(INDEX('Shultis Faw'!$D$2:$D$26,MATCH($C589,'Shultis Faw'!$A$2:$A$26,1))+($C589-INDEX('Shultis Faw'!$A$2:$A$26,MATCH($C589,'Shultis Faw'!$A$2:$A$26,1)))*(INDEX('Shultis Faw'!$D$2:$D$26,MATCH($C589,'Shultis Faw'!$A$2:$A$26,1)+1)-INDEX('Shultis Faw'!$D$2:$D$26,MATCH($C589,'Shultis Faw'!$A$2:$A$26,1)))/(INDEX('Shultis Faw'!$A$2:$A$26,MATCH($C589,'Shultis Faw'!$A$2:$A$26,1)+1)-INDEX('Shultis Faw'!$A$2:$A$26,MATCH($C589,'Shultis Faw'!$A$2:$A$26,1))),$C589*'Shultis Faw'!$D$2/'Shultis Faw'!$A$2)</f>
        <v>2.1258575999999998</v>
      </c>
      <c r="K589" s="83">
        <f>_xlfn.IFNA(INDEX('Shultis Faw'!$B$2:$B$26,MATCH($C589,'Shultis Faw'!$A$2:$A$26,1))+($C589-INDEX('Shultis Faw'!$A$2:$A$26,MATCH($C589,'Shultis Faw'!$A$2:$A$26,1)))*(INDEX('Shultis Faw'!$B$2:$B$26,MATCH($C589,'Shultis Faw'!$A$2:$A$26,1)+1)-INDEX('Shultis Faw'!$B$2:$B$26,MATCH($C589,'Shultis Faw'!$A$2:$A$26,1)))/(INDEX('Shultis Faw'!$A$2:$A$26,MATCH($C589,'Shultis Faw'!$A$2:$A$26,1)+1)-INDEX('Shultis Faw'!$A$2:$A$26,MATCH($C589,'Shultis Faw'!$A$2:$A$26,1))),$C589*'Shultis Faw'!$B$2/'Shultis Faw'!$A$2)</f>
        <v>-0.1734416</v>
      </c>
      <c r="L589" s="83">
        <f>_xlfn.IFNA(INDEX('Shultis Faw'!$E$2:$E$26,MATCH($C589,'Shultis Faw'!$A$2:$A$26,1))+($C589-INDEX('Shultis Faw'!$A$2:$A$26,MATCH($C589,'Shultis Faw'!$A$2:$A$26,1)))*(INDEX('Shultis Faw'!$E$2:$E$26,MATCH($C589,'Shultis Faw'!$A$2:$A$26,1)+1)-INDEX('Shultis Faw'!$E$2:$E$26,MATCH($C589,'Shultis Faw'!$A$2:$A$26,1)))/(INDEX('Shultis Faw'!$A$2:$A$26,MATCH($C589,'Shultis Faw'!$A$2:$A$26,1)+1)-INDEX('Shultis Faw'!$A$2:$A$26,MATCH($C589,'Shultis Faw'!$A$2:$A$26,1))),$C589*'Shultis Faw'!$E$2/'Shultis Faw'!$A$2)</f>
        <v>7.4862919999999999E-2</v>
      </c>
      <c r="M589" s="83">
        <f>_xlfn.IFNA(INDEX('Shultis Faw'!$F$2:$F$26,MATCH($C589,'Shultis Faw'!$A$2:$A$26,1))+($C589-INDEX('Shultis Faw'!$A$2:$A$26,MATCH($C589,'Shultis Faw'!$A$2:$A$26,1)))*(INDEX('Shultis Faw'!$F$2:$F$26,MATCH($C589,'Shultis Faw'!$A$2:$A$26,1)+1)-INDEX('Shultis Faw'!$F$2:$F$26,MATCH($C589,'Shultis Faw'!$A$2:$A$26,1)))/(INDEX('Shultis Faw'!$A$2:$A$26,MATCH($C589,'Shultis Faw'!$A$2:$A$26,1)+1)-INDEX('Shultis Faw'!$A$2:$A$26,MATCH($C589,'Shultis Faw'!$A$2:$A$26,1))),$C589*'Shultis Faw'!$F$2/'Shultis Faw'!$A$2)</f>
        <v>14.438172</v>
      </c>
      <c r="N589" s="83">
        <f>J589*(H589*'Externe blootstelling'!$D$23/2)^K589+L589*(TANH(((H589*'Externe blootstelling'!$D$23)/(2*M589))-2)-TANH(-2))/(1-TANH(-2))</f>
        <v>1.8870876023719392</v>
      </c>
      <c r="O589" s="83">
        <f>IF(N589=1,1+(I589-1)*H589*'Externe blootstelling'!$D$23/2,1+(I589-1)*(N589^(H589*'Externe blootstelling'!$D$23/2)-1)/(N589-1))</f>
        <v>7.7517974127288518</v>
      </c>
      <c r="P589" s="67">
        <f>G589*EXP(-H589*'Externe blootstelling'!$D$23/2)*O589</f>
        <v>4.2287535329483546E-4</v>
      </c>
      <c r="Q589" s="68"/>
    </row>
    <row r="590" spans="1:17" x14ac:dyDescent="0.2">
      <c r="A590" s="217"/>
      <c r="B590" s="64" t="s">
        <v>104</v>
      </c>
      <c r="C590" s="66">
        <v>0.24719999999999998</v>
      </c>
      <c r="D590" s="66">
        <f t="shared" si="40"/>
        <v>3.9551999999999993E-14</v>
      </c>
      <c r="E590" s="66">
        <v>9.7E-5</v>
      </c>
      <c r="F590" s="66">
        <f>_xlfn.IFNA(INDEX('hp (pSv cm2)'!$B$2:$B$52,MATCH($C590,'hp (pSv cm2)'!$A$2:$A$52,1))+($C590-INDEX('hp (pSv cm2)'!$A$2:$A$52,MATCH($C590,'hp (pSv cm2)'!$A$2:$A$52,1)))*(INDEX('hp (pSv cm2)'!$B$2:$B$52,MATCH($C590,'hp (pSv cm2)'!$A$2:$A$52,1)+1)-INDEX('hp (pSv cm2)'!$B$2:$B$52,MATCH($C590,'hp (pSv cm2)'!$A$2:$A$52,1)))/(INDEX('hp (pSv cm2)'!$A$2:$A$52,MATCH($C590,'hp (pSv cm2)'!$A$2:$A$52,1)+1)-INDEX('hp (pSv cm2)'!$A$2:$A$52,MATCH($C590,'hp (pSv cm2)'!$A$2:$A$52,1))),$C590*'hp (pSv cm2)'!$B$2/'hp (pSv cm2)'!$A$2)</f>
        <v>1.2407199999999998</v>
      </c>
      <c r="G590" s="67">
        <f t="shared" si="41"/>
        <v>1.2034983999999999E-4</v>
      </c>
      <c r="H590" s="83">
        <f>_xlfn.IFNA(0.997*(INDEX('Mass attenuation coefficients'!$B$2:$B$37,MATCH($C590,'Mass attenuation coefficients'!$A$2:$A$37,1))+($C590-INDEX('Mass attenuation coefficients'!$A$2:$A$37,MATCH($C590,'Mass attenuation coefficients'!$A$2:$A$37,1)))*(INDEX('Mass attenuation coefficients'!$B$2:$B$37,MATCH($C590,'Mass attenuation coefficients'!$A$2:$A$37,1)+1)-INDEX('Mass attenuation coefficients'!$B$2:$B$37,MATCH($C590,'Mass attenuation coefficients'!$A$2:$A$37,1)))/(INDEX('Mass attenuation coefficients'!$A$2:$A$37,MATCH($C590,'Mass attenuation coefficients'!$A$2:$A$37,1)+1)-INDEX('Mass attenuation coefficients'!$A$2:$A$37,MATCH($C590,'Mass attenuation coefficients'!$A$2:$A$37,1)))),0.997*$C590*'Mass attenuation coefficients'!$B$2/'Mass attenuation coefficients'!$A$2)</f>
        <v>0.12793025440000003</v>
      </c>
      <c r="I590" s="83">
        <f>_xlfn.IFNA(INDEX('Shultis Faw'!$C$2:$C$26,MATCH($C590,'Shultis Faw'!$A$2:$A$26,1))+($C590-INDEX('Shultis Faw'!$A$2:$A$26,MATCH($C590,'Shultis Faw'!$A$2:$A$26,1)))*(INDEX('Shultis Faw'!$C$2:$C$26,MATCH($C590,'Shultis Faw'!$A$2:$A$26,1)+1)-INDEX('Shultis Faw'!$C$2:$C$26,MATCH($C590,'Shultis Faw'!$A$2:$A$26,1)))/(INDEX('Shultis Faw'!$A$2:$A$26,MATCH($C590,'Shultis Faw'!$A$2:$A$26,1)+1)-INDEX('Shultis Faw'!$A$2:$A$26,MATCH($C590,'Shultis Faw'!$A$2:$A$26,1))),$C590*'Shultis Faw'!$C$2/'Shultis Faw'!$A$2)</f>
        <v>3.2146240000000001</v>
      </c>
      <c r="J590" s="83">
        <f>_xlfn.IFNA(INDEX('Shultis Faw'!$D$2:$D$26,MATCH($C590,'Shultis Faw'!$A$2:$A$26,1))+($C590-INDEX('Shultis Faw'!$A$2:$A$26,MATCH($C590,'Shultis Faw'!$A$2:$A$26,1)))*(INDEX('Shultis Faw'!$D$2:$D$26,MATCH($C590,'Shultis Faw'!$A$2:$A$26,1)+1)-INDEX('Shultis Faw'!$D$2:$D$26,MATCH($C590,'Shultis Faw'!$A$2:$A$26,1)))/(INDEX('Shultis Faw'!$A$2:$A$26,MATCH($C590,'Shultis Faw'!$A$2:$A$26,1)+1)-INDEX('Shultis Faw'!$A$2:$A$26,MATCH($C590,'Shultis Faw'!$A$2:$A$26,1))),$C590*'Shultis Faw'!$D$2/'Shultis Faw'!$A$2)</f>
        <v>2.0916959999999998</v>
      </c>
      <c r="K590" s="83">
        <f>_xlfn.IFNA(INDEX('Shultis Faw'!$B$2:$B$26,MATCH($C590,'Shultis Faw'!$A$2:$A$26,1))+($C590-INDEX('Shultis Faw'!$A$2:$A$26,MATCH($C590,'Shultis Faw'!$A$2:$A$26,1)))*(INDEX('Shultis Faw'!$B$2:$B$26,MATCH($C590,'Shultis Faw'!$A$2:$A$26,1)+1)-INDEX('Shultis Faw'!$B$2:$B$26,MATCH($C590,'Shultis Faw'!$A$2:$A$26,1)))/(INDEX('Shultis Faw'!$A$2:$A$26,MATCH($C590,'Shultis Faw'!$A$2:$A$26,1)+1)-INDEX('Shultis Faw'!$A$2:$A$26,MATCH($C590,'Shultis Faw'!$A$2:$A$26,1))),$C590*'Shultis Faw'!$B$2/'Shultis Faw'!$A$2)</f>
        <v>-0.17033599999999999</v>
      </c>
      <c r="L590" s="83">
        <f>_xlfn.IFNA(INDEX('Shultis Faw'!$E$2:$E$26,MATCH($C590,'Shultis Faw'!$A$2:$A$26,1))+($C590-INDEX('Shultis Faw'!$A$2:$A$26,MATCH($C590,'Shultis Faw'!$A$2:$A$26,1)))*(INDEX('Shultis Faw'!$E$2:$E$26,MATCH($C590,'Shultis Faw'!$A$2:$A$26,1)+1)-INDEX('Shultis Faw'!$E$2:$E$26,MATCH($C590,'Shultis Faw'!$A$2:$A$26,1)))/(INDEX('Shultis Faw'!$A$2:$A$26,MATCH($C590,'Shultis Faw'!$A$2:$A$26,1)+1)-INDEX('Shultis Faw'!$A$2:$A$26,MATCH($C590,'Shultis Faw'!$A$2:$A$26,1))),$C590*'Shultis Faw'!$E$2/'Shultis Faw'!$A$2)</f>
        <v>7.1783200000000005E-2</v>
      </c>
      <c r="M590" s="83">
        <f>_xlfn.IFNA(INDEX('Shultis Faw'!$F$2:$F$26,MATCH($C590,'Shultis Faw'!$A$2:$A$26,1))+($C590-INDEX('Shultis Faw'!$A$2:$A$26,MATCH($C590,'Shultis Faw'!$A$2:$A$26,1)))*(INDEX('Shultis Faw'!$F$2:$F$26,MATCH($C590,'Shultis Faw'!$A$2:$A$26,1)+1)-INDEX('Shultis Faw'!$F$2:$F$26,MATCH($C590,'Shultis Faw'!$A$2:$A$26,1)))/(INDEX('Shultis Faw'!$A$2:$A$26,MATCH($C590,'Shultis Faw'!$A$2:$A$26,1)+1)-INDEX('Shultis Faw'!$A$2:$A$26,MATCH($C590,'Shultis Faw'!$A$2:$A$26,1))),$C590*'Shultis Faw'!$F$2/'Shultis Faw'!$A$2)</f>
        <v>14.36312</v>
      </c>
      <c r="N590" s="83">
        <f>J590*(H590*'Externe blootstelling'!$D$23/2)^K590+L590*(TANH(((H590*'Externe blootstelling'!$D$23)/(2*M590))-2)-TANH(-2))/(1-TANH(-2))</f>
        <v>1.8722926348722362</v>
      </c>
      <c r="O590" s="83">
        <f>IF(N590=1,1+(I590-1)*H590*'Externe blootstelling'!$D$23/2,1+(I590-1)*(N590^(H590*'Externe blootstelling'!$D$23/2)-1)/(N590-1))</f>
        <v>6.9199776594167437</v>
      </c>
      <c r="P590" s="67">
        <f>G590*EXP(-H590*'Externe blootstelling'!$D$23/2)*O590</f>
        <v>1.2222474962529143E-4</v>
      </c>
      <c r="Q590" s="68"/>
    </row>
    <row r="591" spans="1:17" x14ac:dyDescent="0.2">
      <c r="A591" s="217"/>
      <c r="B591" s="64" t="s">
        <v>104</v>
      </c>
      <c r="C591" s="66">
        <v>0.24949000000000002</v>
      </c>
      <c r="D591" s="66">
        <f t="shared" si="40"/>
        <v>3.99184E-14</v>
      </c>
      <c r="E591" s="66">
        <v>3.7999999999999997E-4</v>
      </c>
      <c r="F591" s="66">
        <f>_xlfn.IFNA(INDEX('hp (pSv cm2)'!$B$2:$B$52,MATCH($C591,'hp (pSv cm2)'!$A$2:$A$52,1))+($C591-INDEX('hp (pSv cm2)'!$A$2:$A$52,MATCH($C591,'hp (pSv cm2)'!$A$2:$A$52,1)))*(INDEX('hp (pSv cm2)'!$B$2:$B$52,MATCH($C591,'hp (pSv cm2)'!$A$2:$A$52,1)+1)-INDEX('hp (pSv cm2)'!$B$2:$B$52,MATCH($C591,'hp (pSv cm2)'!$A$2:$A$52,1)))/(INDEX('hp (pSv cm2)'!$A$2:$A$52,MATCH($C591,'hp (pSv cm2)'!$A$2:$A$52,1)+1)-INDEX('hp (pSv cm2)'!$A$2:$A$52,MATCH($C591,'hp (pSv cm2)'!$A$2:$A$52,1))),$C591*'hp (pSv cm2)'!$B$2/'hp (pSv cm2)'!$A$2)</f>
        <v>1.252399</v>
      </c>
      <c r="G591" s="67">
        <f t="shared" ref="G591:G622" si="42">F591*E591</f>
        <v>4.7591161999999999E-4</v>
      </c>
      <c r="H591" s="83">
        <f>_xlfn.IFNA(0.997*(INDEX('Mass attenuation coefficients'!$B$2:$B$37,MATCH($C591,'Mass attenuation coefficients'!$A$2:$A$37,1))+($C591-INDEX('Mass attenuation coefficients'!$A$2:$A$37,MATCH($C591,'Mass attenuation coefficients'!$A$2:$A$37,1)))*(INDEX('Mass attenuation coefficients'!$B$2:$B$37,MATCH($C591,'Mass attenuation coefficients'!$A$2:$A$37,1)+1)-INDEX('Mass attenuation coefficients'!$B$2:$B$37,MATCH($C591,'Mass attenuation coefficients'!$A$2:$A$37,1)))/(INDEX('Mass attenuation coefficients'!$A$2:$A$37,MATCH($C591,'Mass attenuation coefficients'!$A$2:$A$37,1)+1)-INDEX('Mass attenuation coefficients'!$A$2:$A$37,MATCH($C591,'Mass attenuation coefficients'!$A$2:$A$37,1)))),0.997*$C591*'Mass attenuation coefficients'!$B$2/'Mass attenuation coefficients'!$A$2)</f>
        <v>0.12751015848</v>
      </c>
      <c r="I591" s="83">
        <f>_xlfn.IFNA(INDEX('Shultis Faw'!$C$2:$C$26,MATCH($C591,'Shultis Faw'!$A$2:$A$26,1))+($C591-INDEX('Shultis Faw'!$A$2:$A$26,MATCH($C591,'Shultis Faw'!$A$2:$A$26,1)))*(INDEX('Shultis Faw'!$C$2:$C$26,MATCH($C591,'Shultis Faw'!$A$2:$A$26,1)+1)-INDEX('Shultis Faw'!$C$2:$C$26,MATCH($C591,'Shultis Faw'!$A$2:$A$26,1)))/(INDEX('Shultis Faw'!$A$2:$A$26,MATCH($C591,'Shultis Faw'!$A$2:$A$26,1)+1)-INDEX('Shultis Faw'!$A$2:$A$26,MATCH($C591,'Shultis Faw'!$A$2:$A$26,1))),$C591*'Shultis Faw'!$C$2/'Shultis Faw'!$A$2)</f>
        <v>3.2018458000000001</v>
      </c>
      <c r="J591" s="83">
        <f>_xlfn.IFNA(INDEX('Shultis Faw'!$D$2:$D$26,MATCH($C591,'Shultis Faw'!$A$2:$A$26,1))+($C591-INDEX('Shultis Faw'!$A$2:$A$26,MATCH($C591,'Shultis Faw'!$A$2:$A$26,1)))*(INDEX('Shultis Faw'!$D$2:$D$26,MATCH($C591,'Shultis Faw'!$A$2:$A$26,1)+1)-INDEX('Shultis Faw'!$D$2:$D$26,MATCH($C591,'Shultis Faw'!$A$2:$A$26,1)))/(INDEX('Shultis Faw'!$A$2:$A$26,MATCH($C591,'Shultis Faw'!$A$2:$A$26,1)+1)-INDEX('Shultis Faw'!$A$2:$A$26,MATCH($C591,'Shultis Faw'!$A$2:$A$26,1))),$C591*'Shultis Faw'!$D$2/'Shultis Faw'!$A$2)</f>
        <v>2.0886731999999997</v>
      </c>
      <c r="K591" s="83">
        <f>_xlfn.IFNA(INDEX('Shultis Faw'!$B$2:$B$26,MATCH($C591,'Shultis Faw'!$A$2:$A$26,1))+($C591-INDEX('Shultis Faw'!$A$2:$A$26,MATCH($C591,'Shultis Faw'!$A$2:$A$26,1)))*(INDEX('Shultis Faw'!$B$2:$B$26,MATCH($C591,'Shultis Faw'!$A$2:$A$26,1)+1)-INDEX('Shultis Faw'!$B$2:$B$26,MATCH($C591,'Shultis Faw'!$A$2:$A$26,1)))/(INDEX('Shultis Faw'!$A$2:$A$26,MATCH($C591,'Shultis Faw'!$A$2:$A$26,1)+1)-INDEX('Shultis Faw'!$A$2:$A$26,MATCH($C591,'Shultis Faw'!$A$2:$A$26,1))),$C591*'Shultis Faw'!$B$2/'Shultis Faw'!$A$2)</f>
        <v>-0.1700612</v>
      </c>
      <c r="L591" s="83">
        <f>_xlfn.IFNA(INDEX('Shultis Faw'!$E$2:$E$26,MATCH($C591,'Shultis Faw'!$A$2:$A$26,1))+($C591-INDEX('Shultis Faw'!$A$2:$A$26,MATCH($C591,'Shultis Faw'!$A$2:$A$26,1)))*(INDEX('Shultis Faw'!$E$2:$E$26,MATCH($C591,'Shultis Faw'!$A$2:$A$26,1)+1)-INDEX('Shultis Faw'!$E$2:$E$26,MATCH($C591,'Shultis Faw'!$A$2:$A$26,1)))/(INDEX('Shultis Faw'!$A$2:$A$26,MATCH($C591,'Shultis Faw'!$A$2:$A$26,1)+1)-INDEX('Shultis Faw'!$A$2:$A$26,MATCH($C591,'Shultis Faw'!$A$2:$A$26,1))),$C591*'Shultis Faw'!$E$2/'Shultis Faw'!$A$2)</f>
        <v>7.1510690000000002E-2</v>
      </c>
      <c r="M591" s="83">
        <f>_xlfn.IFNA(INDEX('Shultis Faw'!$F$2:$F$26,MATCH($C591,'Shultis Faw'!$A$2:$A$26,1))+($C591-INDEX('Shultis Faw'!$A$2:$A$26,MATCH($C591,'Shultis Faw'!$A$2:$A$26,1)))*(INDEX('Shultis Faw'!$F$2:$F$26,MATCH($C591,'Shultis Faw'!$A$2:$A$26,1)+1)-INDEX('Shultis Faw'!$F$2:$F$26,MATCH($C591,'Shultis Faw'!$A$2:$A$26,1)))/(INDEX('Shultis Faw'!$A$2:$A$26,MATCH($C591,'Shultis Faw'!$A$2:$A$26,1)+1)-INDEX('Shultis Faw'!$A$2:$A$26,MATCH($C591,'Shultis Faw'!$A$2:$A$26,1))),$C591*'Shultis Faw'!$F$2/'Shultis Faw'!$A$2)</f>
        <v>14.356479</v>
      </c>
      <c r="N591" s="83">
        <f>J591*(H591*'Externe blootstelling'!$D$23/2)^K591+L591*(TANH(((H591*'Externe blootstelling'!$D$23)/(2*M591))-2)-TANH(-2))/(1-TANH(-2))</f>
        <v>1.8709655859124446</v>
      </c>
      <c r="O591" s="83">
        <f>IF(N591=1,1+(I591-1)*H591*'Externe blootstelling'!$D$23/2,1+(I591-1)*(N591^(H591*'Externe blootstelling'!$D$23/2)-1)/(N591-1))</f>
        <v>6.8501964109484117</v>
      </c>
      <c r="P591" s="67">
        <f>G591*EXP(-H591*'Externe blootstelling'!$D$23/2)*O591</f>
        <v>4.814763499168307E-4</v>
      </c>
      <c r="Q591" s="68"/>
    </row>
    <row r="592" spans="1:17" x14ac:dyDescent="0.2">
      <c r="A592" s="217"/>
      <c r="B592" s="64" t="s">
        <v>104</v>
      </c>
      <c r="C592" s="66">
        <v>0.25159999999999999</v>
      </c>
      <c r="D592" s="66">
        <f t="shared" si="40"/>
        <v>4.0255999999999998E-14</v>
      </c>
      <c r="E592" s="66">
        <v>5.5000000000000003E-4</v>
      </c>
      <c r="F592" s="66">
        <f>_xlfn.IFNA(INDEX('hp (pSv cm2)'!$B$2:$B$52,MATCH($C592,'hp (pSv cm2)'!$A$2:$A$52,1))+($C592-INDEX('hp (pSv cm2)'!$A$2:$A$52,MATCH($C592,'hp (pSv cm2)'!$A$2:$A$52,1)))*(INDEX('hp (pSv cm2)'!$B$2:$B$52,MATCH($C592,'hp (pSv cm2)'!$A$2:$A$52,1)+1)-INDEX('hp (pSv cm2)'!$B$2:$B$52,MATCH($C592,'hp (pSv cm2)'!$A$2:$A$52,1)))/(INDEX('hp (pSv cm2)'!$A$2:$A$52,MATCH($C592,'hp (pSv cm2)'!$A$2:$A$52,1)+1)-INDEX('hp (pSv cm2)'!$A$2:$A$52,MATCH($C592,'hp (pSv cm2)'!$A$2:$A$52,1))),$C592*'hp (pSv cm2)'!$B$2/'hp (pSv cm2)'!$A$2)</f>
        <v>1.2631600000000001</v>
      </c>
      <c r="G592" s="67">
        <f t="shared" si="42"/>
        <v>6.9473800000000008E-4</v>
      </c>
      <c r="H592" s="83">
        <f>_xlfn.IFNA(0.997*(INDEX('Mass attenuation coefficients'!$B$2:$B$37,MATCH($C592,'Mass attenuation coefficients'!$A$2:$A$37,1))+($C592-INDEX('Mass attenuation coefficients'!$A$2:$A$37,MATCH($C592,'Mass attenuation coefficients'!$A$2:$A$37,1)))*(INDEX('Mass attenuation coefficients'!$B$2:$B$37,MATCH($C592,'Mass attenuation coefficients'!$A$2:$A$37,1)+1)-INDEX('Mass attenuation coefficients'!$B$2:$B$37,MATCH($C592,'Mass attenuation coefficients'!$A$2:$A$37,1)))/(INDEX('Mass attenuation coefficients'!$A$2:$A$37,MATCH($C592,'Mass attenuation coefficients'!$A$2:$A$37,1)+1)-INDEX('Mass attenuation coefficients'!$A$2:$A$37,MATCH($C592,'Mass attenuation coefficients'!$A$2:$A$37,1)))),0.997*$C592*'Mass attenuation coefficients'!$B$2/'Mass attenuation coefficients'!$A$2)</f>
        <v>0.12712308319999999</v>
      </c>
      <c r="I592" s="83">
        <f>_xlfn.IFNA(INDEX('Shultis Faw'!$C$2:$C$26,MATCH($C592,'Shultis Faw'!$A$2:$A$26,1))+($C592-INDEX('Shultis Faw'!$A$2:$A$26,MATCH($C592,'Shultis Faw'!$A$2:$A$26,1)))*(INDEX('Shultis Faw'!$C$2:$C$26,MATCH($C592,'Shultis Faw'!$A$2:$A$26,1)+1)-INDEX('Shultis Faw'!$C$2:$C$26,MATCH($C592,'Shultis Faw'!$A$2:$A$26,1)))/(INDEX('Shultis Faw'!$A$2:$A$26,MATCH($C592,'Shultis Faw'!$A$2:$A$26,1)+1)-INDEX('Shultis Faw'!$A$2:$A$26,MATCH($C592,'Shultis Faw'!$A$2:$A$26,1))),$C592*'Shultis Faw'!$C$2/'Shultis Faw'!$A$2)</f>
        <v>3.1900720000000002</v>
      </c>
      <c r="J592" s="83">
        <f>_xlfn.IFNA(INDEX('Shultis Faw'!$D$2:$D$26,MATCH($C592,'Shultis Faw'!$A$2:$A$26,1))+($C592-INDEX('Shultis Faw'!$A$2:$A$26,MATCH($C592,'Shultis Faw'!$A$2:$A$26,1)))*(INDEX('Shultis Faw'!$D$2:$D$26,MATCH($C592,'Shultis Faw'!$A$2:$A$26,1)+1)-INDEX('Shultis Faw'!$D$2:$D$26,MATCH($C592,'Shultis Faw'!$A$2:$A$26,1)))/(INDEX('Shultis Faw'!$A$2:$A$26,MATCH($C592,'Shultis Faw'!$A$2:$A$26,1)+1)-INDEX('Shultis Faw'!$A$2:$A$26,MATCH($C592,'Shultis Faw'!$A$2:$A$26,1))),$C592*'Shultis Faw'!$D$2/'Shultis Faw'!$A$2)</f>
        <v>2.0858879999999997</v>
      </c>
      <c r="K592" s="83">
        <f>_xlfn.IFNA(INDEX('Shultis Faw'!$B$2:$B$26,MATCH($C592,'Shultis Faw'!$A$2:$A$26,1))+($C592-INDEX('Shultis Faw'!$A$2:$A$26,MATCH($C592,'Shultis Faw'!$A$2:$A$26,1)))*(INDEX('Shultis Faw'!$B$2:$B$26,MATCH($C592,'Shultis Faw'!$A$2:$A$26,1)+1)-INDEX('Shultis Faw'!$B$2:$B$26,MATCH($C592,'Shultis Faw'!$A$2:$A$26,1)))/(INDEX('Shultis Faw'!$A$2:$A$26,MATCH($C592,'Shultis Faw'!$A$2:$A$26,1)+1)-INDEX('Shultis Faw'!$A$2:$A$26,MATCH($C592,'Shultis Faw'!$A$2:$A$26,1))),$C592*'Shultis Faw'!$B$2/'Shultis Faw'!$A$2)</f>
        <v>-0.16980799999999999</v>
      </c>
      <c r="L592" s="83">
        <f>_xlfn.IFNA(INDEX('Shultis Faw'!$E$2:$E$26,MATCH($C592,'Shultis Faw'!$A$2:$A$26,1))+($C592-INDEX('Shultis Faw'!$A$2:$A$26,MATCH($C592,'Shultis Faw'!$A$2:$A$26,1)))*(INDEX('Shultis Faw'!$E$2:$E$26,MATCH($C592,'Shultis Faw'!$A$2:$A$26,1)+1)-INDEX('Shultis Faw'!$E$2:$E$26,MATCH($C592,'Shultis Faw'!$A$2:$A$26,1)))/(INDEX('Shultis Faw'!$A$2:$A$26,MATCH($C592,'Shultis Faw'!$A$2:$A$26,1)+1)-INDEX('Shultis Faw'!$A$2:$A$26,MATCH($C592,'Shultis Faw'!$A$2:$A$26,1))),$C592*'Shultis Faw'!$E$2/'Shultis Faw'!$A$2)</f>
        <v>7.1259600000000006E-2</v>
      </c>
      <c r="M592" s="83">
        <f>_xlfn.IFNA(INDEX('Shultis Faw'!$F$2:$F$26,MATCH($C592,'Shultis Faw'!$A$2:$A$26,1))+($C592-INDEX('Shultis Faw'!$A$2:$A$26,MATCH($C592,'Shultis Faw'!$A$2:$A$26,1)))*(INDEX('Shultis Faw'!$F$2:$F$26,MATCH($C592,'Shultis Faw'!$A$2:$A$26,1)+1)-INDEX('Shultis Faw'!$F$2:$F$26,MATCH($C592,'Shultis Faw'!$A$2:$A$26,1)))/(INDEX('Shultis Faw'!$A$2:$A$26,MATCH($C592,'Shultis Faw'!$A$2:$A$26,1)+1)-INDEX('Shultis Faw'!$A$2:$A$26,MATCH($C592,'Shultis Faw'!$A$2:$A$26,1))),$C592*'Shultis Faw'!$F$2/'Shultis Faw'!$A$2)</f>
        <v>14.35036</v>
      </c>
      <c r="N592" s="83">
        <f>J592*(H592*'Externe blootstelling'!$D$23/2)^K592+L592*(TANH(((H592*'Externe blootstelling'!$D$23)/(2*M592))-2)-TANH(-2))/(1-TANH(-2))</f>
        <v>1.8697402766224409</v>
      </c>
      <c r="O592" s="83">
        <f>IF(N592=1,1+(I592-1)*H592*'Externe blootstelling'!$D$23/2,1+(I592-1)*(N592^(H592*'Externe blootstelling'!$D$23/2)-1)/(N592-1))</f>
        <v>6.7864325800776477</v>
      </c>
      <c r="P592" s="67">
        <f>G592*EXP(-H592*'Externe blootstelling'!$D$23/2)*O592</f>
        <v>7.0037363600503565E-4</v>
      </c>
      <c r="Q592" s="68"/>
    </row>
    <row r="593" spans="1:17" x14ac:dyDescent="0.2">
      <c r="A593" s="217"/>
      <c r="B593" s="64" t="s">
        <v>104</v>
      </c>
      <c r="C593" s="66">
        <v>0.25519999999999998</v>
      </c>
      <c r="D593" s="66">
        <f t="shared" si="40"/>
        <v>4.0831999999999995E-14</v>
      </c>
      <c r="E593" s="66">
        <v>4.8000000000000001E-4</v>
      </c>
      <c r="F593" s="66">
        <f>_xlfn.IFNA(INDEX('hp (pSv cm2)'!$B$2:$B$52,MATCH($C593,'hp (pSv cm2)'!$A$2:$A$52,1))+($C593-INDEX('hp (pSv cm2)'!$A$2:$A$52,MATCH($C593,'hp (pSv cm2)'!$A$2:$A$52,1)))*(INDEX('hp (pSv cm2)'!$B$2:$B$52,MATCH($C593,'hp (pSv cm2)'!$A$2:$A$52,1)+1)-INDEX('hp (pSv cm2)'!$B$2:$B$52,MATCH($C593,'hp (pSv cm2)'!$A$2:$A$52,1)))/(INDEX('hp (pSv cm2)'!$A$2:$A$52,MATCH($C593,'hp (pSv cm2)'!$A$2:$A$52,1)+1)-INDEX('hp (pSv cm2)'!$A$2:$A$52,MATCH($C593,'hp (pSv cm2)'!$A$2:$A$52,1))),$C593*'hp (pSv cm2)'!$B$2/'hp (pSv cm2)'!$A$2)</f>
        <v>1.28152</v>
      </c>
      <c r="G593" s="67">
        <f t="shared" si="42"/>
        <v>6.1512960000000005E-4</v>
      </c>
      <c r="H593" s="83">
        <f>_xlfn.IFNA(0.997*(INDEX('Mass attenuation coefficients'!$B$2:$B$37,MATCH($C593,'Mass attenuation coefficients'!$A$2:$A$37,1))+($C593-INDEX('Mass attenuation coefficients'!$A$2:$A$37,MATCH($C593,'Mass attenuation coefficients'!$A$2:$A$37,1)))*(INDEX('Mass attenuation coefficients'!$B$2:$B$37,MATCH($C593,'Mass attenuation coefficients'!$A$2:$A$37,1)+1)-INDEX('Mass attenuation coefficients'!$B$2:$B$37,MATCH($C593,'Mass attenuation coefficients'!$A$2:$A$37,1)))/(INDEX('Mass attenuation coefficients'!$A$2:$A$37,MATCH($C593,'Mass attenuation coefficients'!$A$2:$A$37,1)+1)-INDEX('Mass attenuation coefficients'!$A$2:$A$37,MATCH($C593,'Mass attenuation coefficients'!$A$2:$A$37,1)))),0.997*$C593*'Mass attenuation coefficients'!$B$2/'Mass attenuation coefficients'!$A$2)</f>
        <v>0.1264626704</v>
      </c>
      <c r="I593" s="83">
        <f>_xlfn.IFNA(INDEX('Shultis Faw'!$C$2:$C$26,MATCH($C593,'Shultis Faw'!$A$2:$A$26,1))+($C593-INDEX('Shultis Faw'!$A$2:$A$26,MATCH($C593,'Shultis Faw'!$A$2:$A$26,1)))*(INDEX('Shultis Faw'!$C$2:$C$26,MATCH($C593,'Shultis Faw'!$A$2:$A$26,1)+1)-INDEX('Shultis Faw'!$C$2:$C$26,MATCH($C593,'Shultis Faw'!$A$2:$A$26,1)))/(INDEX('Shultis Faw'!$A$2:$A$26,MATCH($C593,'Shultis Faw'!$A$2:$A$26,1)+1)-INDEX('Shultis Faw'!$A$2:$A$26,MATCH($C593,'Shultis Faw'!$A$2:$A$26,1))),$C593*'Shultis Faw'!$C$2/'Shultis Faw'!$A$2)</f>
        <v>3.1699840000000004</v>
      </c>
      <c r="J593" s="83">
        <f>_xlfn.IFNA(INDEX('Shultis Faw'!$D$2:$D$26,MATCH($C593,'Shultis Faw'!$A$2:$A$26,1))+($C593-INDEX('Shultis Faw'!$A$2:$A$26,MATCH($C593,'Shultis Faw'!$A$2:$A$26,1)))*(INDEX('Shultis Faw'!$D$2:$D$26,MATCH($C593,'Shultis Faw'!$A$2:$A$26,1)+1)-INDEX('Shultis Faw'!$D$2:$D$26,MATCH($C593,'Shultis Faw'!$A$2:$A$26,1)))/(INDEX('Shultis Faw'!$A$2:$A$26,MATCH($C593,'Shultis Faw'!$A$2:$A$26,1)+1)-INDEX('Shultis Faw'!$A$2:$A$26,MATCH($C593,'Shultis Faw'!$A$2:$A$26,1))),$C593*'Shultis Faw'!$D$2/'Shultis Faw'!$A$2)</f>
        <v>2.0811359999999999</v>
      </c>
      <c r="K593" s="83">
        <f>_xlfn.IFNA(INDEX('Shultis Faw'!$B$2:$B$26,MATCH($C593,'Shultis Faw'!$A$2:$A$26,1))+($C593-INDEX('Shultis Faw'!$A$2:$A$26,MATCH($C593,'Shultis Faw'!$A$2:$A$26,1)))*(INDEX('Shultis Faw'!$B$2:$B$26,MATCH($C593,'Shultis Faw'!$A$2:$A$26,1)+1)-INDEX('Shultis Faw'!$B$2:$B$26,MATCH($C593,'Shultis Faw'!$A$2:$A$26,1)))/(INDEX('Shultis Faw'!$A$2:$A$26,MATCH($C593,'Shultis Faw'!$A$2:$A$26,1)+1)-INDEX('Shultis Faw'!$A$2:$A$26,MATCH($C593,'Shultis Faw'!$A$2:$A$26,1))),$C593*'Shultis Faw'!$B$2/'Shultis Faw'!$A$2)</f>
        <v>-0.169376</v>
      </c>
      <c r="L593" s="83">
        <f>_xlfn.IFNA(INDEX('Shultis Faw'!$E$2:$E$26,MATCH($C593,'Shultis Faw'!$A$2:$A$26,1))+($C593-INDEX('Shultis Faw'!$A$2:$A$26,MATCH($C593,'Shultis Faw'!$A$2:$A$26,1)))*(INDEX('Shultis Faw'!$E$2:$E$26,MATCH($C593,'Shultis Faw'!$A$2:$A$26,1)+1)-INDEX('Shultis Faw'!$E$2:$E$26,MATCH($C593,'Shultis Faw'!$A$2:$A$26,1)))/(INDEX('Shultis Faw'!$A$2:$A$26,MATCH($C593,'Shultis Faw'!$A$2:$A$26,1)+1)-INDEX('Shultis Faw'!$A$2:$A$26,MATCH($C593,'Shultis Faw'!$A$2:$A$26,1))),$C593*'Shultis Faw'!$E$2/'Shultis Faw'!$A$2)</f>
        <v>7.0831199999999997E-2</v>
      </c>
      <c r="M593" s="83">
        <f>_xlfn.IFNA(INDEX('Shultis Faw'!$F$2:$F$26,MATCH($C593,'Shultis Faw'!$A$2:$A$26,1))+($C593-INDEX('Shultis Faw'!$A$2:$A$26,MATCH($C593,'Shultis Faw'!$A$2:$A$26,1)))*(INDEX('Shultis Faw'!$F$2:$F$26,MATCH($C593,'Shultis Faw'!$A$2:$A$26,1)+1)-INDEX('Shultis Faw'!$F$2:$F$26,MATCH($C593,'Shultis Faw'!$A$2:$A$26,1)))/(INDEX('Shultis Faw'!$A$2:$A$26,MATCH($C593,'Shultis Faw'!$A$2:$A$26,1)+1)-INDEX('Shultis Faw'!$A$2:$A$26,MATCH($C593,'Shultis Faw'!$A$2:$A$26,1))),$C593*'Shultis Faw'!$F$2/'Shultis Faw'!$A$2)</f>
        <v>14.339920000000001</v>
      </c>
      <c r="N593" s="83">
        <f>J593*(H593*'Externe blootstelling'!$D$23/2)^K593+L593*(TANH(((H593*'Externe blootstelling'!$D$23)/(2*M593))-2)-TANH(-2))/(1-TANH(-2))</f>
        <v>1.8676440166329393</v>
      </c>
      <c r="O593" s="83">
        <f>IF(N593=1,1+(I593-1)*H593*'Externe blootstelling'!$D$23/2,1+(I593-1)*(N593^(H593*'Externe blootstelling'!$D$23/2)-1)/(N593-1))</f>
        <v>6.678809997700637</v>
      </c>
      <c r="P593" s="67">
        <f>G593*EXP(-H593*'Externe blootstelling'!$D$23/2)*O593</f>
        <v>6.1636094951662552E-4</v>
      </c>
      <c r="Q593" s="68"/>
    </row>
    <row r="594" spans="1:17" x14ac:dyDescent="0.2">
      <c r="A594" s="217"/>
      <c r="B594" s="64" t="s">
        <v>104</v>
      </c>
      <c r="C594" s="66">
        <v>0.25569999999999998</v>
      </c>
      <c r="D594" s="66">
        <f t="shared" si="40"/>
        <v>4.0911999999999993E-14</v>
      </c>
      <c r="E594" s="66">
        <v>5.4999999999999995E-5</v>
      </c>
      <c r="F594" s="66">
        <f>_xlfn.IFNA(INDEX('hp (pSv cm2)'!$B$2:$B$52,MATCH($C594,'hp (pSv cm2)'!$A$2:$A$52,1))+($C594-INDEX('hp (pSv cm2)'!$A$2:$A$52,MATCH($C594,'hp (pSv cm2)'!$A$2:$A$52,1)))*(INDEX('hp (pSv cm2)'!$B$2:$B$52,MATCH($C594,'hp (pSv cm2)'!$A$2:$A$52,1)+1)-INDEX('hp (pSv cm2)'!$B$2:$B$52,MATCH($C594,'hp (pSv cm2)'!$A$2:$A$52,1)))/(INDEX('hp (pSv cm2)'!$A$2:$A$52,MATCH($C594,'hp (pSv cm2)'!$A$2:$A$52,1)+1)-INDEX('hp (pSv cm2)'!$A$2:$A$52,MATCH($C594,'hp (pSv cm2)'!$A$2:$A$52,1))),$C594*'hp (pSv cm2)'!$B$2/'hp (pSv cm2)'!$A$2)</f>
        <v>1.2840699999999998</v>
      </c>
      <c r="G594" s="67">
        <f t="shared" si="42"/>
        <v>7.0623849999999983E-5</v>
      </c>
      <c r="H594" s="83">
        <f>_xlfn.IFNA(0.997*(INDEX('Mass attenuation coefficients'!$B$2:$B$37,MATCH($C594,'Mass attenuation coefficients'!$A$2:$A$37,1))+($C594-INDEX('Mass attenuation coefficients'!$A$2:$A$37,MATCH($C594,'Mass attenuation coefficients'!$A$2:$A$37,1)))*(INDEX('Mass attenuation coefficients'!$B$2:$B$37,MATCH($C594,'Mass attenuation coefficients'!$A$2:$A$37,1)+1)-INDEX('Mass attenuation coefficients'!$B$2:$B$37,MATCH($C594,'Mass attenuation coefficients'!$A$2:$A$37,1)))/(INDEX('Mass attenuation coefficients'!$A$2:$A$37,MATCH($C594,'Mass attenuation coefficients'!$A$2:$A$37,1)+1)-INDEX('Mass attenuation coefficients'!$A$2:$A$37,MATCH($C594,'Mass attenuation coefficients'!$A$2:$A$37,1)))),0.997*$C594*'Mass attenuation coefficients'!$B$2/'Mass attenuation coefficients'!$A$2)</f>
        <v>0.12637094640000002</v>
      </c>
      <c r="I594" s="83">
        <f>_xlfn.IFNA(INDEX('Shultis Faw'!$C$2:$C$26,MATCH($C594,'Shultis Faw'!$A$2:$A$26,1))+($C594-INDEX('Shultis Faw'!$A$2:$A$26,MATCH($C594,'Shultis Faw'!$A$2:$A$26,1)))*(INDEX('Shultis Faw'!$C$2:$C$26,MATCH($C594,'Shultis Faw'!$A$2:$A$26,1)+1)-INDEX('Shultis Faw'!$C$2:$C$26,MATCH($C594,'Shultis Faw'!$A$2:$A$26,1)))/(INDEX('Shultis Faw'!$A$2:$A$26,MATCH($C594,'Shultis Faw'!$A$2:$A$26,1)+1)-INDEX('Shultis Faw'!$A$2:$A$26,MATCH($C594,'Shultis Faw'!$A$2:$A$26,1))),$C594*'Shultis Faw'!$C$2/'Shultis Faw'!$A$2)</f>
        <v>3.1671940000000003</v>
      </c>
      <c r="J594" s="83">
        <f>_xlfn.IFNA(INDEX('Shultis Faw'!$D$2:$D$26,MATCH($C594,'Shultis Faw'!$A$2:$A$26,1))+($C594-INDEX('Shultis Faw'!$A$2:$A$26,MATCH($C594,'Shultis Faw'!$A$2:$A$26,1)))*(INDEX('Shultis Faw'!$D$2:$D$26,MATCH($C594,'Shultis Faw'!$A$2:$A$26,1)+1)-INDEX('Shultis Faw'!$D$2:$D$26,MATCH($C594,'Shultis Faw'!$A$2:$A$26,1)))/(INDEX('Shultis Faw'!$A$2:$A$26,MATCH($C594,'Shultis Faw'!$A$2:$A$26,1)+1)-INDEX('Shultis Faw'!$A$2:$A$26,MATCH($C594,'Shultis Faw'!$A$2:$A$26,1))),$C594*'Shultis Faw'!$D$2/'Shultis Faw'!$A$2)</f>
        <v>2.080476</v>
      </c>
      <c r="K594" s="83">
        <f>_xlfn.IFNA(INDEX('Shultis Faw'!$B$2:$B$26,MATCH($C594,'Shultis Faw'!$A$2:$A$26,1))+($C594-INDEX('Shultis Faw'!$A$2:$A$26,MATCH($C594,'Shultis Faw'!$A$2:$A$26,1)))*(INDEX('Shultis Faw'!$B$2:$B$26,MATCH($C594,'Shultis Faw'!$A$2:$A$26,1)+1)-INDEX('Shultis Faw'!$B$2:$B$26,MATCH($C594,'Shultis Faw'!$A$2:$A$26,1)))/(INDEX('Shultis Faw'!$A$2:$A$26,MATCH($C594,'Shultis Faw'!$A$2:$A$26,1)+1)-INDEX('Shultis Faw'!$A$2:$A$26,MATCH($C594,'Shultis Faw'!$A$2:$A$26,1))),$C594*'Shultis Faw'!$B$2/'Shultis Faw'!$A$2)</f>
        <v>-0.16931599999999999</v>
      </c>
      <c r="L594" s="83">
        <f>_xlfn.IFNA(INDEX('Shultis Faw'!$E$2:$E$26,MATCH($C594,'Shultis Faw'!$A$2:$A$26,1))+($C594-INDEX('Shultis Faw'!$A$2:$A$26,MATCH($C594,'Shultis Faw'!$A$2:$A$26,1)))*(INDEX('Shultis Faw'!$E$2:$E$26,MATCH($C594,'Shultis Faw'!$A$2:$A$26,1)+1)-INDEX('Shultis Faw'!$E$2:$E$26,MATCH($C594,'Shultis Faw'!$A$2:$A$26,1)))/(INDEX('Shultis Faw'!$A$2:$A$26,MATCH($C594,'Shultis Faw'!$A$2:$A$26,1)+1)-INDEX('Shultis Faw'!$A$2:$A$26,MATCH($C594,'Shultis Faw'!$A$2:$A$26,1))),$C594*'Shultis Faw'!$E$2/'Shultis Faw'!$A$2)</f>
        <v>7.0771700000000007E-2</v>
      </c>
      <c r="M594" s="83">
        <f>_xlfn.IFNA(INDEX('Shultis Faw'!$F$2:$F$26,MATCH($C594,'Shultis Faw'!$A$2:$A$26,1))+($C594-INDEX('Shultis Faw'!$A$2:$A$26,MATCH($C594,'Shultis Faw'!$A$2:$A$26,1)))*(INDEX('Shultis Faw'!$F$2:$F$26,MATCH($C594,'Shultis Faw'!$A$2:$A$26,1)+1)-INDEX('Shultis Faw'!$F$2:$F$26,MATCH($C594,'Shultis Faw'!$A$2:$A$26,1)))/(INDEX('Shultis Faw'!$A$2:$A$26,MATCH($C594,'Shultis Faw'!$A$2:$A$26,1)+1)-INDEX('Shultis Faw'!$A$2:$A$26,MATCH($C594,'Shultis Faw'!$A$2:$A$26,1))),$C594*'Shultis Faw'!$F$2/'Shultis Faw'!$A$2)</f>
        <v>14.338470000000001</v>
      </c>
      <c r="N594" s="83">
        <f>J594*(H594*'Externe blootstelling'!$D$23/2)^K594+L594*(TANH(((H594*'Externe blootstelling'!$D$23)/(2*M594))-2)-TANH(-2))/(1-TANH(-2))</f>
        <v>1.8673523028754064</v>
      </c>
      <c r="O594" s="83">
        <f>IF(N594=1,1+(I594-1)*H594*'Externe blootstelling'!$D$23/2,1+(I594-1)*(N594^(H594*'Externe blootstelling'!$D$23/2)-1)/(N594-1))</f>
        <v>6.6639782022261338</v>
      </c>
      <c r="P594" s="67">
        <f>G594*EXP(-H594*'Externe blootstelling'!$D$23/2)*O594</f>
        <v>7.0705286516555268E-5</v>
      </c>
      <c r="Q594" s="68"/>
    </row>
    <row r="595" spans="1:17" x14ac:dyDescent="0.2">
      <c r="A595" s="217"/>
      <c r="B595" s="64" t="s">
        <v>104</v>
      </c>
      <c r="C595" s="66">
        <v>0.26039999999999996</v>
      </c>
      <c r="D595" s="66">
        <f t="shared" si="40"/>
        <v>4.1663999999999995E-14</v>
      </c>
      <c r="E595" s="66">
        <v>6.7000000000000002E-5</v>
      </c>
      <c r="F595" s="66">
        <f>_xlfn.IFNA(INDEX('hp (pSv cm2)'!$B$2:$B$52,MATCH($C595,'hp (pSv cm2)'!$A$2:$A$52,1))+($C595-INDEX('hp (pSv cm2)'!$A$2:$A$52,MATCH($C595,'hp (pSv cm2)'!$A$2:$A$52,1)))*(INDEX('hp (pSv cm2)'!$B$2:$B$52,MATCH($C595,'hp (pSv cm2)'!$A$2:$A$52,1)+1)-INDEX('hp (pSv cm2)'!$B$2:$B$52,MATCH($C595,'hp (pSv cm2)'!$A$2:$A$52,1)))/(INDEX('hp (pSv cm2)'!$A$2:$A$52,MATCH($C595,'hp (pSv cm2)'!$A$2:$A$52,1)+1)-INDEX('hp (pSv cm2)'!$A$2:$A$52,MATCH($C595,'hp (pSv cm2)'!$A$2:$A$52,1))),$C595*'hp (pSv cm2)'!$B$2/'hp (pSv cm2)'!$A$2)</f>
        <v>1.3080399999999999</v>
      </c>
      <c r="G595" s="67">
        <f t="shared" si="42"/>
        <v>8.7638679999999997E-5</v>
      </c>
      <c r="H595" s="83">
        <f>_xlfn.IFNA(0.997*(INDEX('Mass attenuation coefficients'!$B$2:$B$37,MATCH($C595,'Mass attenuation coefficients'!$A$2:$A$37,1))+($C595-INDEX('Mass attenuation coefficients'!$A$2:$A$37,MATCH($C595,'Mass attenuation coefficients'!$A$2:$A$37,1)))*(INDEX('Mass attenuation coefficients'!$B$2:$B$37,MATCH($C595,'Mass attenuation coefficients'!$A$2:$A$37,1)+1)-INDEX('Mass attenuation coefficients'!$B$2:$B$37,MATCH($C595,'Mass attenuation coefficients'!$A$2:$A$37,1)))/(INDEX('Mass attenuation coefficients'!$A$2:$A$37,MATCH($C595,'Mass attenuation coefficients'!$A$2:$A$37,1)+1)-INDEX('Mass attenuation coefficients'!$A$2:$A$37,MATCH($C595,'Mass attenuation coefficients'!$A$2:$A$37,1)))),0.997*$C595*'Mass attenuation coefficients'!$B$2/'Mass attenuation coefficients'!$A$2)</f>
        <v>0.12550874080000002</v>
      </c>
      <c r="I595" s="83">
        <f>_xlfn.IFNA(INDEX('Shultis Faw'!$C$2:$C$26,MATCH($C595,'Shultis Faw'!$A$2:$A$26,1))+($C595-INDEX('Shultis Faw'!$A$2:$A$26,MATCH($C595,'Shultis Faw'!$A$2:$A$26,1)))*(INDEX('Shultis Faw'!$C$2:$C$26,MATCH($C595,'Shultis Faw'!$A$2:$A$26,1)+1)-INDEX('Shultis Faw'!$C$2:$C$26,MATCH($C595,'Shultis Faw'!$A$2:$A$26,1)))/(INDEX('Shultis Faw'!$A$2:$A$26,MATCH($C595,'Shultis Faw'!$A$2:$A$26,1)+1)-INDEX('Shultis Faw'!$A$2:$A$26,MATCH($C595,'Shultis Faw'!$A$2:$A$26,1))),$C595*'Shultis Faw'!$C$2/'Shultis Faw'!$A$2)</f>
        <v>3.1409680000000004</v>
      </c>
      <c r="J595" s="83">
        <f>_xlfn.IFNA(INDEX('Shultis Faw'!$D$2:$D$26,MATCH($C595,'Shultis Faw'!$A$2:$A$26,1))+($C595-INDEX('Shultis Faw'!$A$2:$A$26,MATCH($C595,'Shultis Faw'!$A$2:$A$26,1)))*(INDEX('Shultis Faw'!$D$2:$D$26,MATCH($C595,'Shultis Faw'!$A$2:$A$26,1)+1)-INDEX('Shultis Faw'!$D$2:$D$26,MATCH($C595,'Shultis Faw'!$A$2:$A$26,1)))/(INDEX('Shultis Faw'!$A$2:$A$26,MATCH($C595,'Shultis Faw'!$A$2:$A$26,1)+1)-INDEX('Shultis Faw'!$A$2:$A$26,MATCH($C595,'Shultis Faw'!$A$2:$A$26,1))),$C595*'Shultis Faw'!$D$2/'Shultis Faw'!$A$2)</f>
        <v>2.0742719999999997</v>
      </c>
      <c r="K595" s="83">
        <f>_xlfn.IFNA(INDEX('Shultis Faw'!$B$2:$B$26,MATCH($C595,'Shultis Faw'!$A$2:$A$26,1))+($C595-INDEX('Shultis Faw'!$A$2:$A$26,MATCH($C595,'Shultis Faw'!$A$2:$A$26,1)))*(INDEX('Shultis Faw'!$B$2:$B$26,MATCH($C595,'Shultis Faw'!$A$2:$A$26,1)+1)-INDEX('Shultis Faw'!$B$2:$B$26,MATCH($C595,'Shultis Faw'!$A$2:$A$26,1)))/(INDEX('Shultis Faw'!$A$2:$A$26,MATCH($C595,'Shultis Faw'!$A$2:$A$26,1)+1)-INDEX('Shultis Faw'!$A$2:$A$26,MATCH($C595,'Shultis Faw'!$A$2:$A$26,1))),$C595*'Shultis Faw'!$B$2/'Shultis Faw'!$A$2)</f>
        <v>-0.16875200000000001</v>
      </c>
      <c r="L595" s="83">
        <f>_xlfn.IFNA(INDEX('Shultis Faw'!$E$2:$E$26,MATCH($C595,'Shultis Faw'!$A$2:$A$26,1))+($C595-INDEX('Shultis Faw'!$A$2:$A$26,MATCH($C595,'Shultis Faw'!$A$2:$A$26,1)))*(INDEX('Shultis Faw'!$E$2:$E$26,MATCH($C595,'Shultis Faw'!$A$2:$A$26,1)+1)-INDEX('Shultis Faw'!$E$2:$E$26,MATCH($C595,'Shultis Faw'!$A$2:$A$26,1)))/(INDEX('Shultis Faw'!$A$2:$A$26,MATCH($C595,'Shultis Faw'!$A$2:$A$26,1)+1)-INDEX('Shultis Faw'!$A$2:$A$26,MATCH($C595,'Shultis Faw'!$A$2:$A$26,1))),$C595*'Shultis Faw'!$E$2/'Shultis Faw'!$A$2)</f>
        <v>7.0212400000000008E-2</v>
      </c>
      <c r="M595" s="83">
        <f>_xlfn.IFNA(INDEX('Shultis Faw'!$F$2:$F$26,MATCH($C595,'Shultis Faw'!$A$2:$A$26,1))+($C595-INDEX('Shultis Faw'!$A$2:$A$26,MATCH($C595,'Shultis Faw'!$A$2:$A$26,1)))*(INDEX('Shultis Faw'!$F$2:$F$26,MATCH($C595,'Shultis Faw'!$A$2:$A$26,1)+1)-INDEX('Shultis Faw'!$F$2:$F$26,MATCH($C595,'Shultis Faw'!$A$2:$A$26,1)))/(INDEX('Shultis Faw'!$A$2:$A$26,MATCH($C595,'Shultis Faw'!$A$2:$A$26,1)+1)-INDEX('Shultis Faw'!$A$2:$A$26,MATCH($C595,'Shultis Faw'!$A$2:$A$26,1))),$C595*'Shultis Faw'!$F$2/'Shultis Faw'!$A$2)</f>
        <v>14.32484</v>
      </c>
      <c r="N595" s="83">
        <f>J595*(H595*'Externe blootstelling'!$D$23/2)^K595+L595*(TANH(((H595*'Externe blootstelling'!$D$23)/(2*M595))-2)-TANH(-2))/(1-TANH(-2))</f>
        <v>1.8646034463670995</v>
      </c>
      <c r="O595" s="83">
        <f>IF(N595=1,1+(I595-1)*H595*'Externe blootstelling'!$D$23/2,1+(I595-1)*(N595^(H595*'Externe blootstelling'!$D$23/2)-1)/(N595-1))</f>
        <v>6.5259267348271353</v>
      </c>
      <c r="P595" s="67">
        <f>G595*EXP(-H595*'Externe blootstelling'!$D$23/2)*O595</f>
        <v>8.7040568315625673E-5</v>
      </c>
      <c r="Q595" s="68"/>
    </row>
    <row r="596" spans="1:17" x14ac:dyDescent="0.2">
      <c r="A596" s="217"/>
      <c r="B596" s="64" t="s">
        <v>104</v>
      </c>
      <c r="C596" s="66">
        <v>0.26946300000000001</v>
      </c>
      <c r="D596" s="66">
        <f t="shared" si="40"/>
        <v>4.3114079999999996E-14</v>
      </c>
      <c r="E596" s="66">
        <v>0.14230000000000001</v>
      </c>
      <c r="F596" s="66">
        <f>_xlfn.IFNA(INDEX('hp (pSv cm2)'!$B$2:$B$52,MATCH($C596,'hp (pSv cm2)'!$A$2:$A$52,1))+($C596-INDEX('hp (pSv cm2)'!$A$2:$A$52,MATCH($C596,'hp (pSv cm2)'!$A$2:$A$52,1)))*(INDEX('hp (pSv cm2)'!$B$2:$B$52,MATCH($C596,'hp (pSv cm2)'!$A$2:$A$52,1)+1)-INDEX('hp (pSv cm2)'!$B$2:$B$52,MATCH($C596,'hp (pSv cm2)'!$A$2:$A$52,1)))/(INDEX('hp (pSv cm2)'!$A$2:$A$52,MATCH($C596,'hp (pSv cm2)'!$A$2:$A$52,1)+1)-INDEX('hp (pSv cm2)'!$A$2:$A$52,MATCH($C596,'hp (pSv cm2)'!$A$2:$A$52,1))),$C596*'hp (pSv cm2)'!$B$2/'hp (pSv cm2)'!$A$2)</f>
        <v>1.3542613000000001</v>
      </c>
      <c r="G596" s="67">
        <f t="shared" si="42"/>
        <v>0.19271138299000004</v>
      </c>
      <c r="H596" s="83">
        <f>_xlfn.IFNA(0.997*(INDEX('Mass attenuation coefficients'!$B$2:$B$37,MATCH($C596,'Mass attenuation coefficients'!$A$2:$A$37,1))+($C596-INDEX('Mass attenuation coefficients'!$A$2:$A$37,MATCH($C596,'Mass attenuation coefficients'!$A$2:$A$37,1)))*(INDEX('Mass attenuation coefficients'!$B$2:$B$37,MATCH($C596,'Mass attenuation coefficients'!$A$2:$A$37,1)+1)-INDEX('Mass attenuation coefficients'!$B$2:$B$37,MATCH($C596,'Mass attenuation coefficients'!$A$2:$A$37,1)))/(INDEX('Mass attenuation coefficients'!$A$2:$A$37,MATCH($C596,'Mass attenuation coefficients'!$A$2:$A$37,1)+1)-INDEX('Mass attenuation coefficients'!$A$2:$A$37,MATCH($C596,'Mass attenuation coefficients'!$A$2:$A$37,1)))),0.997*$C596*'Mass attenuation coefficients'!$B$2/'Mass attenuation coefficients'!$A$2)</f>
        <v>0.123846151576</v>
      </c>
      <c r="I596" s="83">
        <f>_xlfn.IFNA(INDEX('Shultis Faw'!$C$2:$C$26,MATCH($C596,'Shultis Faw'!$A$2:$A$26,1))+($C596-INDEX('Shultis Faw'!$A$2:$A$26,MATCH($C596,'Shultis Faw'!$A$2:$A$26,1)))*(INDEX('Shultis Faw'!$C$2:$C$26,MATCH($C596,'Shultis Faw'!$A$2:$A$26,1)+1)-INDEX('Shultis Faw'!$C$2:$C$26,MATCH($C596,'Shultis Faw'!$A$2:$A$26,1)))/(INDEX('Shultis Faw'!$A$2:$A$26,MATCH($C596,'Shultis Faw'!$A$2:$A$26,1)+1)-INDEX('Shultis Faw'!$A$2:$A$26,MATCH($C596,'Shultis Faw'!$A$2:$A$26,1))),$C596*'Shultis Faw'!$C$2/'Shultis Faw'!$A$2)</f>
        <v>3.09039646</v>
      </c>
      <c r="J596" s="83">
        <f>_xlfn.IFNA(INDEX('Shultis Faw'!$D$2:$D$26,MATCH($C596,'Shultis Faw'!$A$2:$A$26,1))+($C596-INDEX('Shultis Faw'!$A$2:$A$26,MATCH($C596,'Shultis Faw'!$A$2:$A$26,1)))*(INDEX('Shultis Faw'!$D$2:$D$26,MATCH($C596,'Shultis Faw'!$A$2:$A$26,1)+1)-INDEX('Shultis Faw'!$D$2:$D$26,MATCH($C596,'Shultis Faw'!$A$2:$A$26,1)))/(INDEX('Shultis Faw'!$A$2:$A$26,MATCH($C596,'Shultis Faw'!$A$2:$A$26,1)+1)-INDEX('Shultis Faw'!$A$2:$A$26,MATCH($C596,'Shultis Faw'!$A$2:$A$26,1))),$C596*'Shultis Faw'!$D$2/'Shultis Faw'!$A$2)</f>
        <v>2.06230884</v>
      </c>
      <c r="K596" s="83">
        <f>_xlfn.IFNA(INDEX('Shultis Faw'!$B$2:$B$26,MATCH($C596,'Shultis Faw'!$A$2:$A$26,1))+($C596-INDEX('Shultis Faw'!$A$2:$A$26,MATCH($C596,'Shultis Faw'!$A$2:$A$26,1)))*(INDEX('Shultis Faw'!$B$2:$B$26,MATCH($C596,'Shultis Faw'!$A$2:$A$26,1)+1)-INDEX('Shultis Faw'!$B$2:$B$26,MATCH($C596,'Shultis Faw'!$A$2:$A$26,1)))/(INDEX('Shultis Faw'!$A$2:$A$26,MATCH($C596,'Shultis Faw'!$A$2:$A$26,1)+1)-INDEX('Shultis Faw'!$A$2:$A$26,MATCH($C596,'Shultis Faw'!$A$2:$A$26,1))),$C596*'Shultis Faw'!$B$2/'Shultis Faw'!$A$2)</f>
        <v>-0.16766444</v>
      </c>
      <c r="L596" s="83">
        <f>_xlfn.IFNA(INDEX('Shultis Faw'!$E$2:$E$26,MATCH($C596,'Shultis Faw'!$A$2:$A$26,1))+($C596-INDEX('Shultis Faw'!$A$2:$A$26,MATCH($C596,'Shultis Faw'!$A$2:$A$26,1)))*(INDEX('Shultis Faw'!$E$2:$E$26,MATCH($C596,'Shultis Faw'!$A$2:$A$26,1)+1)-INDEX('Shultis Faw'!$E$2:$E$26,MATCH($C596,'Shultis Faw'!$A$2:$A$26,1)))/(INDEX('Shultis Faw'!$A$2:$A$26,MATCH($C596,'Shultis Faw'!$A$2:$A$26,1)+1)-INDEX('Shultis Faw'!$A$2:$A$26,MATCH($C596,'Shultis Faw'!$A$2:$A$26,1))),$C596*'Shultis Faw'!$E$2/'Shultis Faw'!$A$2)</f>
        <v>6.9133902999999997E-2</v>
      </c>
      <c r="M596" s="83">
        <f>_xlfn.IFNA(INDEX('Shultis Faw'!$F$2:$F$26,MATCH($C596,'Shultis Faw'!$A$2:$A$26,1))+($C596-INDEX('Shultis Faw'!$A$2:$A$26,MATCH($C596,'Shultis Faw'!$A$2:$A$26,1)))*(INDEX('Shultis Faw'!$F$2:$F$26,MATCH($C596,'Shultis Faw'!$A$2:$A$26,1)+1)-INDEX('Shultis Faw'!$F$2:$F$26,MATCH($C596,'Shultis Faw'!$A$2:$A$26,1)))/(INDEX('Shultis Faw'!$A$2:$A$26,MATCH($C596,'Shultis Faw'!$A$2:$A$26,1)+1)-INDEX('Shultis Faw'!$A$2:$A$26,MATCH($C596,'Shultis Faw'!$A$2:$A$26,1))),$C596*'Shultis Faw'!$F$2/'Shultis Faw'!$A$2)</f>
        <v>14.298557300000001</v>
      </c>
      <c r="N596" s="83">
        <f>J596*(H596*'Externe blootstelling'!$D$23/2)^K596+L596*(TANH(((H596*'Externe blootstelling'!$D$23)/(2*M596))-2)-TANH(-2))/(1-TANH(-2))</f>
        <v>1.8592684577570333</v>
      </c>
      <c r="O596" s="83">
        <f>IF(N596=1,1+(I596-1)*H596*'Externe blootstelling'!$D$23/2,1+(I596-1)*(N596^(H596*'Externe blootstelling'!$D$23/2)-1)/(N596-1))</f>
        <v>6.2665953933941267</v>
      </c>
      <c r="P596" s="67">
        <f>G596*EXP(-H596*'Externe blootstelling'!$D$23/2)*O596</f>
        <v>0.18843150625004196</v>
      </c>
      <c r="Q596" s="68"/>
    </row>
    <row r="597" spans="1:17" x14ac:dyDescent="0.2">
      <c r="A597" s="217"/>
      <c r="B597" s="64" t="s">
        <v>104</v>
      </c>
      <c r="C597" s="66">
        <v>0.27029999999999998</v>
      </c>
      <c r="D597" s="66">
        <f t="shared" si="40"/>
        <v>4.3247999999999999E-14</v>
      </c>
      <c r="E597" s="66">
        <v>6.9999999999999999E-6</v>
      </c>
      <c r="F597" s="66">
        <f>_xlfn.IFNA(INDEX('hp (pSv cm2)'!$B$2:$B$52,MATCH($C597,'hp (pSv cm2)'!$A$2:$A$52,1))+($C597-INDEX('hp (pSv cm2)'!$A$2:$A$52,MATCH($C597,'hp (pSv cm2)'!$A$2:$A$52,1)))*(INDEX('hp (pSv cm2)'!$B$2:$B$52,MATCH($C597,'hp (pSv cm2)'!$A$2:$A$52,1)+1)-INDEX('hp (pSv cm2)'!$B$2:$B$52,MATCH($C597,'hp (pSv cm2)'!$A$2:$A$52,1)))/(INDEX('hp (pSv cm2)'!$A$2:$A$52,MATCH($C597,'hp (pSv cm2)'!$A$2:$A$52,1)+1)-INDEX('hp (pSv cm2)'!$A$2:$A$52,MATCH($C597,'hp (pSv cm2)'!$A$2:$A$52,1))),$C597*'hp (pSv cm2)'!$B$2/'hp (pSv cm2)'!$A$2)</f>
        <v>1.35853</v>
      </c>
      <c r="G597" s="67">
        <f t="shared" si="42"/>
        <v>9.5097100000000005E-6</v>
      </c>
      <c r="H597" s="83">
        <f>_xlfn.IFNA(0.997*(INDEX('Mass attenuation coefficients'!$B$2:$B$37,MATCH($C597,'Mass attenuation coefficients'!$A$2:$A$37,1))+($C597-INDEX('Mass attenuation coefficients'!$A$2:$A$37,MATCH($C597,'Mass attenuation coefficients'!$A$2:$A$37,1)))*(INDEX('Mass attenuation coefficients'!$B$2:$B$37,MATCH($C597,'Mass attenuation coefficients'!$A$2:$A$37,1)+1)-INDEX('Mass attenuation coefficients'!$B$2:$B$37,MATCH($C597,'Mass attenuation coefficients'!$A$2:$A$37,1)))/(INDEX('Mass attenuation coefficients'!$A$2:$A$37,MATCH($C597,'Mass attenuation coefficients'!$A$2:$A$37,1)+1)-INDEX('Mass attenuation coefficients'!$A$2:$A$37,MATCH($C597,'Mass attenuation coefficients'!$A$2:$A$37,1)))),0.997*$C597*'Mass attenuation coefficients'!$B$2/'Mass attenuation coefficients'!$A$2)</f>
        <v>0.12369260560000001</v>
      </c>
      <c r="I597" s="83">
        <f>_xlfn.IFNA(INDEX('Shultis Faw'!$C$2:$C$26,MATCH($C597,'Shultis Faw'!$A$2:$A$26,1))+($C597-INDEX('Shultis Faw'!$A$2:$A$26,MATCH($C597,'Shultis Faw'!$A$2:$A$26,1)))*(INDEX('Shultis Faw'!$C$2:$C$26,MATCH($C597,'Shultis Faw'!$A$2:$A$26,1)+1)-INDEX('Shultis Faw'!$C$2:$C$26,MATCH($C597,'Shultis Faw'!$A$2:$A$26,1)))/(INDEX('Shultis Faw'!$A$2:$A$26,MATCH($C597,'Shultis Faw'!$A$2:$A$26,1)+1)-INDEX('Shultis Faw'!$A$2:$A$26,MATCH($C597,'Shultis Faw'!$A$2:$A$26,1))),$C597*'Shultis Faw'!$C$2/'Shultis Faw'!$A$2)</f>
        <v>3.0857260000000002</v>
      </c>
      <c r="J597" s="83">
        <f>_xlfn.IFNA(INDEX('Shultis Faw'!$D$2:$D$26,MATCH($C597,'Shultis Faw'!$A$2:$A$26,1))+($C597-INDEX('Shultis Faw'!$A$2:$A$26,MATCH($C597,'Shultis Faw'!$A$2:$A$26,1)))*(INDEX('Shultis Faw'!$D$2:$D$26,MATCH($C597,'Shultis Faw'!$A$2:$A$26,1)+1)-INDEX('Shultis Faw'!$D$2:$D$26,MATCH($C597,'Shultis Faw'!$A$2:$A$26,1)))/(INDEX('Shultis Faw'!$A$2:$A$26,MATCH($C597,'Shultis Faw'!$A$2:$A$26,1)+1)-INDEX('Shultis Faw'!$A$2:$A$26,MATCH($C597,'Shultis Faw'!$A$2:$A$26,1))),$C597*'Shultis Faw'!$D$2/'Shultis Faw'!$A$2)</f>
        <v>2.061204</v>
      </c>
      <c r="K597" s="83">
        <f>_xlfn.IFNA(INDEX('Shultis Faw'!$B$2:$B$26,MATCH($C597,'Shultis Faw'!$A$2:$A$26,1))+($C597-INDEX('Shultis Faw'!$A$2:$A$26,MATCH($C597,'Shultis Faw'!$A$2:$A$26,1)))*(INDEX('Shultis Faw'!$B$2:$B$26,MATCH($C597,'Shultis Faw'!$A$2:$A$26,1)+1)-INDEX('Shultis Faw'!$B$2:$B$26,MATCH($C597,'Shultis Faw'!$A$2:$A$26,1)))/(INDEX('Shultis Faw'!$A$2:$A$26,MATCH($C597,'Shultis Faw'!$A$2:$A$26,1)+1)-INDEX('Shultis Faw'!$A$2:$A$26,MATCH($C597,'Shultis Faw'!$A$2:$A$26,1))),$C597*'Shultis Faw'!$B$2/'Shultis Faw'!$A$2)</f>
        <v>-0.16756399999999999</v>
      </c>
      <c r="L597" s="83">
        <f>_xlfn.IFNA(INDEX('Shultis Faw'!$E$2:$E$26,MATCH($C597,'Shultis Faw'!$A$2:$A$26,1))+($C597-INDEX('Shultis Faw'!$A$2:$A$26,MATCH($C597,'Shultis Faw'!$A$2:$A$26,1)))*(INDEX('Shultis Faw'!$E$2:$E$26,MATCH($C597,'Shultis Faw'!$A$2:$A$26,1)+1)-INDEX('Shultis Faw'!$E$2:$E$26,MATCH($C597,'Shultis Faw'!$A$2:$A$26,1)))/(INDEX('Shultis Faw'!$A$2:$A$26,MATCH($C597,'Shultis Faw'!$A$2:$A$26,1)+1)-INDEX('Shultis Faw'!$A$2:$A$26,MATCH($C597,'Shultis Faw'!$A$2:$A$26,1))),$C597*'Shultis Faw'!$E$2/'Shultis Faw'!$A$2)</f>
        <v>6.9034300000000007E-2</v>
      </c>
      <c r="M597" s="83">
        <f>_xlfn.IFNA(INDEX('Shultis Faw'!$F$2:$F$26,MATCH($C597,'Shultis Faw'!$A$2:$A$26,1))+($C597-INDEX('Shultis Faw'!$A$2:$A$26,MATCH($C597,'Shultis Faw'!$A$2:$A$26,1)))*(INDEX('Shultis Faw'!$F$2:$F$26,MATCH($C597,'Shultis Faw'!$A$2:$A$26,1)+1)-INDEX('Shultis Faw'!$F$2:$F$26,MATCH($C597,'Shultis Faw'!$A$2:$A$26,1)))/(INDEX('Shultis Faw'!$A$2:$A$26,MATCH($C597,'Shultis Faw'!$A$2:$A$26,1)+1)-INDEX('Shultis Faw'!$A$2:$A$26,MATCH($C597,'Shultis Faw'!$A$2:$A$26,1))),$C597*'Shultis Faw'!$F$2/'Shultis Faw'!$A$2)</f>
        <v>14.29613</v>
      </c>
      <c r="N597" s="83">
        <f>J597*(H597*'Externe blootstelling'!$D$23/2)^K597+L597*(TANH(((H597*'Externe blootstelling'!$D$23)/(2*M597))-2)-TANH(-2))/(1-TANH(-2))</f>
        <v>1.8587734735180477</v>
      </c>
      <c r="O597" s="83">
        <f>IF(N597=1,1+(I597-1)*H597*'Externe blootstelling'!$D$23/2,1+(I597-1)*(N597^(H597*'Externe blootstelling'!$D$23/2)-1)/(N597-1))</f>
        <v>6.2430947069117195</v>
      </c>
      <c r="P597" s="67">
        <f>G597*EXP(-H597*'Externe blootstelling'!$D$23/2)*O597</f>
        <v>9.2850010132905173E-6</v>
      </c>
      <c r="Q597" s="68"/>
    </row>
    <row r="598" spans="1:17" x14ac:dyDescent="0.2">
      <c r="A598" s="217"/>
      <c r="B598" s="64" t="s">
        <v>104</v>
      </c>
      <c r="C598" s="66">
        <v>0.28599999999999998</v>
      </c>
      <c r="D598" s="66">
        <f t="shared" si="40"/>
        <v>4.5759999999999999E-14</v>
      </c>
      <c r="E598" s="66">
        <v>1.1000000000000001E-5</v>
      </c>
      <c r="F598" s="66">
        <f>_xlfn.IFNA(INDEX('hp (pSv cm2)'!$B$2:$B$52,MATCH($C598,'hp (pSv cm2)'!$A$2:$A$52,1))+($C598-INDEX('hp (pSv cm2)'!$A$2:$A$52,MATCH($C598,'hp (pSv cm2)'!$A$2:$A$52,1)))*(INDEX('hp (pSv cm2)'!$B$2:$B$52,MATCH($C598,'hp (pSv cm2)'!$A$2:$A$52,1)+1)-INDEX('hp (pSv cm2)'!$B$2:$B$52,MATCH($C598,'hp (pSv cm2)'!$A$2:$A$52,1)))/(INDEX('hp (pSv cm2)'!$A$2:$A$52,MATCH($C598,'hp (pSv cm2)'!$A$2:$A$52,1)+1)-INDEX('hp (pSv cm2)'!$A$2:$A$52,MATCH($C598,'hp (pSv cm2)'!$A$2:$A$52,1))),$C598*'hp (pSv cm2)'!$B$2/'hp (pSv cm2)'!$A$2)</f>
        <v>1.4385999999999999</v>
      </c>
      <c r="G598" s="67">
        <f t="shared" si="42"/>
        <v>1.5824600000000001E-5</v>
      </c>
      <c r="H598" s="83">
        <f>_xlfn.IFNA(0.997*(INDEX('Mass attenuation coefficients'!$B$2:$B$37,MATCH($C598,'Mass attenuation coefficients'!$A$2:$A$37,1))+($C598-INDEX('Mass attenuation coefficients'!$A$2:$A$37,MATCH($C598,'Mass attenuation coefficients'!$A$2:$A$37,1)))*(INDEX('Mass attenuation coefficients'!$B$2:$B$37,MATCH($C598,'Mass attenuation coefficients'!$A$2:$A$37,1)+1)-INDEX('Mass attenuation coefficients'!$B$2:$B$37,MATCH($C598,'Mass attenuation coefficients'!$A$2:$A$37,1)))/(INDEX('Mass attenuation coefficients'!$A$2:$A$37,MATCH($C598,'Mass attenuation coefficients'!$A$2:$A$37,1)+1)-INDEX('Mass attenuation coefficients'!$A$2:$A$37,MATCH($C598,'Mass attenuation coefficients'!$A$2:$A$37,1)))),0.997*$C598*'Mass attenuation coefficients'!$B$2/'Mass attenuation coefficients'!$A$2)</f>
        <v>0.120812472</v>
      </c>
      <c r="I598" s="83">
        <f>_xlfn.IFNA(INDEX('Shultis Faw'!$C$2:$C$26,MATCH($C598,'Shultis Faw'!$A$2:$A$26,1))+($C598-INDEX('Shultis Faw'!$A$2:$A$26,MATCH($C598,'Shultis Faw'!$A$2:$A$26,1)))*(INDEX('Shultis Faw'!$C$2:$C$26,MATCH($C598,'Shultis Faw'!$A$2:$A$26,1)+1)-INDEX('Shultis Faw'!$C$2:$C$26,MATCH($C598,'Shultis Faw'!$A$2:$A$26,1)))/(INDEX('Shultis Faw'!$A$2:$A$26,MATCH($C598,'Shultis Faw'!$A$2:$A$26,1)+1)-INDEX('Shultis Faw'!$A$2:$A$26,MATCH($C598,'Shultis Faw'!$A$2:$A$26,1))),$C598*'Shultis Faw'!$C$2/'Shultis Faw'!$A$2)</f>
        <v>2.9981200000000001</v>
      </c>
      <c r="J598" s="83">
        <f>_xlfn.IFNA(INDEX('Shultis Faw'!$D$2:$D$26,MATCH($C598,'Shultis Faw'!$A$2:$A$26,1))+($C598-INDEX('Shultis Faw'!$A$2:$A$26,MATCH($C598,'Shultis Faw'!$A$2:$A$26,1)))*(INDEX('Shultis Faw'!$D$2:$D$26,MATCH($C598,'Shultis Faw'!$A$2:$A$26,1)+1)-INDEX('Shultis Faw'!$D$2:$D$26,MATCH($C598,'Shultis Faw'!$A$2:$A$26,1)))/(INDEX('Shultis Faw'!$A$2:$A$26,MATCH($C598,'Shultis Faw'!$A$2:$A$26,1)+1)-INDEX('Shultis Faw'!$A$2:$A$26,MATCH($C598,'Shultis Faw'!$A$2:$A$26,1))),$C598*'Shultis Faw'!$D$2/'Shultis Faw'!$A$2)</f>
        <v>2.0404799999999996</v>
      </c>
      <c r="K598" s="83">
        <f>_xlfn.IFNA(INDEX('Shultis Faw'!$B$2:$B$26,MATCH($C598,'Shultis Faw'!$A$2:$A$26,1))+($C598-INDEX('Shultis Faw'!$A$2:$A$26,MATCH($C598,'Shultis Faw'!$A$2:$A$26,1)))*(INDEX('Shultis Faw'!$B$2:$B$26,MATCH($C598,'Shultis Faw'!$A$2:$A$26,1)+1)-INDEX('Shultis Faw'!$B$2:$B$26,MATCH($C598,'Shultis Faw'!$A$2:$A$26,1)))/(INDEX('Shultis Faw'!$A$2:$A$26,MATCH($C598,'Shultis Faw'!$A$2:$A$26,1)+1)-INDEX('Shultis Faw'!$A$2:$A$26,MATCH($C598,'Shultis Faw'!$A$2:$A$26,1))),$C598*'Shultis Faw'!$B$2/'Shultis Faw'!$A$2)</f>
        <v>-0.16567999999999999</v>
      </c>
      <c r="L598" s="83">
        <f>_xlfn.IFNA(INDEX('Shultis Faw'!$E$2:$E$26,MATCH($C598,'Shultis Faw'!$A$2:$A$26,1))+($C598-INDEX('Shultis Faw'!$A$2:$A$26,MATCH($C598,'Shultis Faw'!$A$2:$A$26,1)))*(INDEX('Shultis Faw'!$E$2:$E$26,MATCH($C598,'Shultis Faw'!$A$2:$A$26,1)+1)-INDEX('Shultis Faw'!$E$2:$E$26,MATCH($C598,'Shultis Faw'!$A$2:$A$26,1)))/(INDEX('Shultis Faw'!$A$2:$A$26,MATCH($C598,'Shultis Faw'!$A$2:$A$26,1)+1)-INDEX('Shultis Faw'!$A$2:$A$26,MATCH($C598,'Shultis Faw'!$A$2:$A$26,1))),$C598*'Shultis Faw'!$E$2/'Shultis Faw'!$A$2)</f>
        <v>6.7166000000000003E-2</v>
      </c>
      <c r="M598" s="83">
        <f>_xlfn.IFNA(INDEX('Shultis Faw'!$F$2:$F$26,MATCH($C598,'Shultis Faw'!$A$2:$A$26,1))+($C598-INDEX('Shultis Faw'!$A$2:$A$26,MATCH($C598,'Shultis Faw'!$A$2:$A$26,1)))*(INDEX('Shultis Faw'!$F$2:$F$26,MATCH($C598,'Shultis Faw'!$A$2:$A$26,1)+1)-INDEX('Shultis Faw'!$F$2:$F$26,MATCH($C598,'Shultis Faw'!$A$2:$A$26,1)))/(INDEX('Shultis Faw'!$A$2:$A$26,MATCH($C598,'Shultis Faw'!$A$2:$A$26,1)+1)-INDEX('Shultis Faw'!$A$2:$A$26,MATCH($C598,'Shultis Faw'!$A$2:$A$26,1))),$C598*'Shultis Faw'!$F$2/'Shultis Faw'!$A$2)</f>
        <v>14.2506</v>
      </c>
      <c r="N598" s="83">
        <f>J598*(H598*'Externe blootstelling'!$D$23/2)^K598+L598*(TANH(((H598*'Externe blootstelling'!$D$23)/(2*M598))-2)-TANH(-2))/(1-TANH(-2))</f>
        <v>1.8494176654191641</v>
      </c>
      <c r="O598" s="83">
        <f>IF(N598=1,1+(I598-1)*H598*'Externe blootstelling'!$D$23/2,1+(I598-1)*(N598^(H598*'Externe blootstelling'!$D$23/2)-1)/(N598-1))</f>
        <v>5.8159835159256819</v>
      </c>
      <c r="P598" s="67">
        <f>G598*EXP(-H598*'Externe blootstelling'!$D$23/2)*O598</f>
        <v>1.5029102937905285E-5</v>
      </c>
      <c r="Q598" s="68"/>
    </row>
    <row r="599" spans="1:17" x14ac:dyDescent="0.2">
      <c r="A599" s="217"/>
      <c r="B599" s="64" t="s">
        <v>104</v>
      </c>
      <c r="C599" s="66">
        <v>0.28817999999999999</v>
      </c>
      <c r="D599" s="66">
        <f t="shared" si="40"/>
        <v>4.61088E-14</v>
      </c>
      <c r="E599" s="66">
        <v>1.6100000000000001E-3</v>
      </c>
      <c r="F599" s="66">
        <f>_xlfn.IFNA(INDEX('hp (pSv cm2)'!$B$2:$B$52,MATCH($C599,'hp (pSv cm2)'!$A$2:$A$52,1))+($C599-INDEX('hp (pSv cm2)'!$A$2:$A$52,MATCH($C599,'hp (pSv cm2)'!$A$2:$A$52,1)))*(INDEX('hp (pSv cm2)'!$B$2:$B$52,MATCH($C599,'hp (pSv cm2)'!$A$2:$A$52,1)+1)-INDEX('hp (pSv cm2)'!$B$2:$B$52,MATCH($C599,'hp (pSv cm2)'!$A$2:$A$52,1)))/(INDEX('hp (pSv cm2)'!$A$2:$A$52,MATCH($C599,'hp (pSv cm2)'!$A$2:$A$52,1)+1)-INDEX('hp (pSv cm2)'!$A$2:$A$52,MATCH($C599,'hp (pSv cm2)'!$A$2:$A$52,1))),$C599*'hp (pSv cm2)'!$B$2/'hp (pSv cm2)'!$A$2)</f>
        <v>1.4497180000000001</v>
      </c>
      <c r="G599" s="67">
        <f t="shared" si="42"/>
        <v>2.3340459800000003E-3</v>
      </c>
      <c r="H599" s="83">
        <f>_xlfn.IFNA(0.997*(INDEX('Mass attenuation coefficients'!$B$2:$B$37,MATCH($C599,'Mass attenuation coefficients'!$A$2:$A$37,1))+($C599-INDEX('Mass attenuation coefficients'!$A$2:$A$37,MATCH($C599,'Mass attenuation coefficients'!$A$2:$A$37,1)))*(INDEX('Mass attenuation coefficients'!$B$2:$B$37,MATCH($C599,'Mass attenuation coefficients'!$A$2:$A$37,1)+1)-INDEX('Mass attenuation coefficients'!$B$2:$B$37,MATCH($C599,'Mass attenuation coefficients'!$A$2:$A$37,1)))/(INDEX('Mass attenuation coefficients'!$A$2:$A$37,MATCH($C599,'Mass attenuation coefficients'!$A$2:$A$37,1)+1)-INDEX('Mass attenuation coefficients'!$A$2:$A$37,MATCH($C599,'Mass attenuation coefficients'!$A$2:$A$37,1)))),0.997*$C599*'Mass attenuation coefficients'!$B$2/'Mass attenuation coefficients'!$A$2)</f>
        <v>0.12041255536000001</v>
      </c>
      <c r="I599" s="83">
        <f>_xlfn.IFNA(INDEX('Shultis Faw'!$C$2:$C$26,MATCH($C599,'Shultis Faw'!$A$2:$A$26,1))+($C599-INDEX('Shultis Faw'!$A$2:$A$26,MATCH($C599,'Shultis Faw'!$A$2:$A$26,1)))*(INDEX('Shultis Faw'!$C$2:$C$26,MATCH($C599,'Shultis Faw'!$A$2:$A$26,1)+1)-INDEX('Shultis Faw'!$C$2:$C$26,MATCH($C599,'Shultis Faw'!$A$2:$A$26,1)))/(INDEX('Shultis Faw'!$A$2:$A$26,MATCH($C599,'Shultis Faw'!$A$2:$A$26,1)+1)-INDEX('Shultis Faw'!$A$2:$A$26,MATCH($C599,'Shultis Faw'!$A$2:$A$26,1))),$C599*'Shultis Faw'!$C$2/'Shultis Faw'!$A$2)</f>
        <v>2.9859556</v>
      </c>
      <c r="J599" s="83">
        <f>_xlfn.IFNA(INDEX('Shultis Faw'!$D$2:$D$26,MATCH($C599,'Shultis Faw'!$A$2:$A$26,1))+($C599-INDEX('Shultis Faw'!$A$2:$A$26,MATCH($C599,'Shultis Faw'!$A$2:$A$26,1)))*(INDEX('Shultis Faw'!$D$2:$D$26,MATCH($C599,'Shultis Faw'!$A$2:$A$26,1)+1)-INDEX('Shultis Faw'!$D$2:$D$26,MATCH($C599,'Shultis Faw'!$A$2:$A$26,1)))/(INDEX('Shultis Faw'!$A$2:$A$26,MATCH($C599,'Shultis Faw'!$A$2:$A$26,1)+1)-INDEX('Shultis Faw'!$A$2:$A$26,MATCH($C599,'Shultis Faw'!$A$2:$A$26,1))),$C599*'Shultis Faw'!$D$2/'Shultis Faw'!$A$2)</f>
        <v>2.0376023999999999</v>
      </c>
      <c r="K599" s="83">
        <f>_xlfn.IFNA(INDEX('Shultis Faw'!$B$2:$B$26,MATCH($C599,'Shultis Faw'!$A$2:$A$26,1))+($C599-INDEX('Shultis Faw'!$A$2:$A$26,MATCH($C599,'Shultis Faw'!$A$2:$A$26,1)))*(INDEX('Shultis Faw'!$B$2:$B$26,MATCH($C599,'Shultis Faw'!$A$2:$A$26,1)+1)-INDEX('Shultis Faw'!$B$2:$B$26,MATCH($C599,'Shultis Faw'!$A$2:$A$26,1)))/(INDEX('Shultis Faw'!$A$2:$A$26,MATCH($C599,'Shultis Faw'!$A$2:$A$26,1)+1)-INDEX('Shultis Faw'!$A$2:$A$26,MATCH($C599,'Shultis Faw'!$A$2:$A$26,1))),$C599*'Shultis Faw'!$B$2/'Shultis Faw'!$A$2)</f>
        <v>-0.16541839999999999</v>
      </c>
      <c r="L599" s="83">
        <f>_xlfn.IFNA(INDEX('Shultis Faw'!$E$2:$E$26,MATCH($C599,'Shultis Faw'!$A$2:$A$26,1))+($C599-INDEX('Shultis Faw'!$A$2:$A$26,MATCH($C599,'Shultis Faw'!$A$2:$A$26,1)))*(INDEX('Shultis Faw'!$E$2:$E$26,MATCH($C599,'Shultis Faw'!$A$2:$A$26,1)+1)-INDEX('Shultis Faw'!$E$2:$E$26,MATCH($C599,'Shultis Faw'!$A$2:$A$26,1)))/(INDEX('Shultis Faw'!$A$2:$A$26,MATCH($C599,'Shultis Faw'!$A$2:$A$26,1)+1)-INDEX('Shultis Faw'!$A$2:$A$26,MATCH($C599,'Shultis Faw'!$A$2:$A$26,1))),$C599*'Shultis Faw'!$E$2/'Shultis Faw'!$A$2)</f>
        <v>6.6906579999999993E-2</v>
      </c>
      <c r="M599" s="83">
        <f>_xlfn.IFNA(INDEX('Shultis Faw'!$F$2:$F$26,MATCH($C599,'Shultis Faw'!$A$2:$A$26,1))+($C599-INDEX('Shultis Faw'!$A$2:$A$26,MATCH($C599,'Shultis Faw'!$A$2:$A$26,1)))*(INDEX('Shultis Faw'!$F$2:$F$26,MATCH($C599,'Shultis Faw'!$A$2:$A$26,1)+1)-INDEX('Shultis Faw'!$F$2:$F$26,MATCH($C599,'Shultis Faw'!$A$2:$A$26,1)))/(INDEX('Shultis Faw'!$A$2:$A$26,MATCH($C599,'Shultis Faw'!$A$2:$A$26,1)+1)-INDEX('Shultis Faw'!$A$2:$A$26,MATCH($C599,'Shultis Faw'!$A$2:$A$26,1))),$C599*'Shultis Faw'!$F$2/'Shultis Faw'!$A$2)</f>
        <v>14.244278000000001</v>
      </c>
      <c r="N599" s="83">
        <f>J599*(H599*'Externe blootstelling'!$D$23/2)^K599+L599*(TANH(((H599*'Externe blootstelling'!$D$23)/(2*M599))-2)-TANH(-2))/(1-TANH(-2))</f>
        <v>1.8481079260071471</v>
      </c>
      <c r="O599" s="83">
        <f>IF(N599=1,1+(I599-1)*H599*'Externe blootstelling'!$D$23/2,1+(I599-1)*(N599^(H599*'Externe blootstelling'!$D$23/2)-1)/(N599-1))</f>
        <v>5.7586938398661749</v>
      </c>
      <c r="P599" s="67">
        <f>G599*EXP(-H599*'Externe blootstelling'!$D$23/2)*O599</f>
        <v>2.2080849213616371E-3</v>
      </c>
      <c r="Q599" s="68"/>
    </row>
    <row r="600" spans="1:17" x14ac:dyDescent="0.2">
      <c r="A600" s="217"/>
      <c r="B600" s="64" t="s">
        <v>104</v>
      </c>
      <c r="C600" s="66">
        <v>0.32387099999999996</v>
      </c>
      <c r="D600" s="66">
        <f t="shared" si="40"/>
        <v>5.1819359999999989E-14</v>
      </c>
      <c r="E600" s="66">
        <v>4.0599999999999997E-2</v>
      </c>
      <c r="F600" s="66">
        <f>_xlfn.IFNA(INDEX('hp (pSv cm2)'!$B$2:$B$52,MATCH($C600,'hp (pSv cm2)'!$A$2:$A$52,1))+($C600-INDEX('hp (pSv cm2)'!$A$2:$A$52,MATCH($C600,'hp (pSv cm2)'!$A$2:$A$52,1)))*(INDEX('hp (pSv cm2)'!$B$2:$B$52,MATCH($C600,'hp (pSv cm2)'!$A$2:$A$52,1)+1)-INDEX('hp (pSv cm2)'!$B$2:$B$52,MATCH($C600,'hp (pSv cm2)'!$A$2:$A$52,1)))/(INDEX('hp (pSv cm2)'!$A$2:$A$52,MATCH($C600,'hp (pSv cm2)'!$A$2:$A$52,1)+1)-INDEX('hp (pSv cm2)'!$A$2:$A$52,MATCH($C600,'hp (pSv cm2)'!$A$2:$A$52,1))),$C600*'hp (pSv cm2)'!$B$2/'hp (pSv cm2)'!$A$2)</f>
        <v>1.6269678999999999</v>
      </c>
      <c r="G600" s="67">
        <f t="shared" si="42"/>
        <v>6.6054896739999994E-2</v>
      </c>
      <c r="H600" s="83">
        <f>_xlfn.IFNA(0.997*(INDEX('Mass attenuation coefficients'!$B$2:$B$37,MATCH($C600,'Mass attenuation coefficients'!$A$2:$A$37,1))+($C600-INDEX('Mass attenuation coefficients'!$A$2:$A$37,MATCH($C600,'Mass attenuation coefficients'!$A$2:$A$37,1)))*(INDEX('Mass attenuation coefficients'!$B$2:$B$37,MATCH($C600,'Mass attenuation coefficients'!$A$2:$A$37,1)+1)-INDEX('Mass attenuation coefficients'!$B$2:$B$37,MATCH($C600,'Mass attenuation coefficients'!$A$2:$A$37,1)))/(INDEX('Mass attenuation coefficients'!$A$2:$A$37,MATCH($C600,'Mass attenuation coefficients'!$A$2:$A$37,1)+1)-INDEX('Mass attenuation coefficients'!$A$2:$A$37,MATCH($C600,'Mass attenuation coefficients'!$A$2:$A$37,1)))),0.997*$C600*'Mass attenuation coefficients'!$B$2/'Mass attenuation coefficients'!$A$2)</f>
        <v>0.115269276625</v>
      </c>
      <c r="I600" s="83">
        <f>_xlfn.IFNA(INDEX('Shultis Faw'!$C$2:$C$26,MATCH($C600,'Shultis Faw'!$A$2:$A$26,1))+($C600-INDEX('Shultis Faw'!$A$2:$A$26,MATCH($C600,'Shultis Faw'!$A$2:$A$26,1)))*(INDEX('Shultis Faw'!$C$2:$C$26,MATCH($C600,'Shultis Faw'!$A$2:$A$26,1)+1)-INDEX('Shultis Faw'!$C$2:$C$26,MATCH($C600,'Shultis Faw'!$A$2:$A$26,1)))/(INDEX('Shultis Faw'!$A$2:$A$26,MATCH($C600,'Shultis Faw'!$A$2:$A$26,1)+1)-INDEX('Shultis Faw'!$A$2:$A$26,MATCH($C600,'Shultis Faw'!$A$2:$A$26,1))),$C600*'Shultis Faw'!$C$2/'Shultis Faw'!$A$2)</f>
        <v>2.8579354000000001</v>
      </c>
      <c r="J600" s="83">
        <f>_xlfn.IFNA(INDEX('Shultis Faw'!$D$2:$D$26,MATCH($C600,'Shultis Faw'!$A$2:$A$26,1))+($C600-INDEX('Shultis Faw'!$A$2:$A$26,MATCH($C600,'Shultis Faw'!$A$2:$A$26,1)))*(INDEX('Shultis Faw'!$D$2:$D$26,MATCH($C600,'Shultis Faw'!$A$2:$A$26,1)+1)-INDEX('Shultis Faw'!$D$2:$D$26,MATCH($C600,'Shultis Faw'!$A$2:$A$26,1)))/(INDEX('Shultis Faw'!$A$2:$A$26,MATCH($C600,'Shultis Faw'!$A$2:$A$26,1)+1)-INDEX('Shultis Faw'!$A$2:$A$26,MATCH($C600,'Shultis Faw'!$A$2:$A$26,1))),$C600*'Shultis Faw'!$D$2/'Shultis Faw'!$A$2)</f>
        <v>1.9885805999999999</v>
      </c>
      <c r="K600" s="83">
        <f>_xlfn.IFNA(INDEX('Shultis Faw'!$B$2:$B$26,MATCH($C600,'Shultis Faw'!$A$2:$A$26,1))+($C600-INDEX('Shultis Faw'!$A$2:$A$26,MATCH($C600,'Shultis Faw'!$A$2:$A$26,1)))*(INDEX('Shultis Faw'!$B$2:$B$26,MATCH($C600,'Shultis Faw'!$A$2:$A$26,1)+1)-INDEX('Shultis Faw'!$B$2:$B$26,MATCH($C600,'Shultis Faw'!$A$2:$A$26,1)))/(INDEX('Shultis Faw'!$A$2:$A$26,MATCH($C600,'Shultis Faw'!$A$2:$A$26,1)+1)-INDEX('Shultis Faw'!$A$2:$A$26,MATCH($C600,'Shultis Faw'!$A$2:$A$26,1))),$C600*'Shultis Faw'!$B$2/'Shultis Faw'!$A$2)</f>
        <v>-0.16041935000000002</v>
      </c>
      <c r="L600" s="83">
        <f>_xlfn.IFNA(INDEX('Shultis Faw'!$E$2:$E$26,MATCH($C600,'Shultis Faw'!$A$2:$A$26,1))+($C600-INDEX('Shultis Faw'!$A$2:$A$26,MATCH($C600,'Shultis Faw'!$A$2:$A$26,1)))*(INDEX('Shultis Faw'!$E$2:$E$26,MATCH($C600,'Shultis Faw'!$A$2:$A$26,1)+1)-INDEX('Shultis Faw'!$E$2:$E$26,MATCH($C600,'Shultis Faw'!$A$2:$A$26,1)))/(INDEX('Shultis Faw'!$A$2:$A$26,MATCH($C600,'Shultis Faw'!$A$2:$A$26,1)+1)-INDEX('Shultis Faw'!$A$2:$A$26,MATCH($C600,'Shultis Faw'!$A$2:$A$26,1))),$C600*'Shultis Faw'!$E$2/'Shultis Faw'!$A$2)</f>
        <v>6.4067739999999998E-2</v>
      </c>
      <c r="M600" s="83">
        <f>_xlfn.IFNA(INDEX('Shultis Faw'!$F$2:$F$26,MATCH($C600,'Shultis Faw'!$A$2:$A$26,1))+($C600-INDEX('Shultis Faw'!$A$2:$A$26,MATCH($C600,'Shultis Faw'!$A$2:$A$26,1)))*(INDEX('Shultis Faw'!$F$2:$F$26,MATCH($C600,'Shultis Faw'!$A$2:$A$26,1)+1)-INDEX('Shultis Faw'!$F$2:$F$26,MATCH($C600,'Shultis Faw'!$A$2:$A$26,1)))/(INDEX('Shultis Faw'!$A$2:$A$26,MATCH($C600,'Shultis Faw'!$A$2:$A$26,1)+1)-INDEX('Shultis Faw'!$A$2:$A$26,MATCH($C600,'Shultis Faw'!$A$2:$A$26,1))),$C600*'Shultis Faw'!$F$2/'Shultis Faw'!$A$2)</f>
        <v>14.217161300000001</v>
      </c>
      <c r="N600" s="83">
        <f>J600*(H600*'Externe blootstelling'!$D$23/2)^K600+L600*(TANH(((H600*'Externe blootstelling'!$D$23)/(2*M600))-2)-TANH(-2))/(1-TANH(-2))</f>
        <v>1.821671169733639</v>
      </c>
      <c r="O600" s="83">
        <f>IF(N600=1,1+(I600-1)*H600*'Externe blootstelling'!$D$23/2,1+(I600-1)*(N600^(H600*'Externe blootstelling'!$D$23/2)-1)/(N600-1))</f>
        <v>5.1169927090702787</v>
      </c>
      <c r="P600" s="67">
        <f>G600*EXP(-H600*'Externe blootstelling'!$D$23/2)*O600</f>
        <v>5.9980164787349334E-2</v>
      </c>
      <c r="Q600" s="68"/>
    </row>
    <row r="601" spans="1:17" x14ac:dyDescent="0.2">
      <c r="A601" s="217"/>
      <c r="B601" s="64" t="s">
        <v>104</v>
      </c>
      <c r="C601" s="66">
        <v>0.32838000000000001</v>
      </c>
      <c r="D601" s="66">
        <f t="shared" si="40"/>
        <v>5.2540799999999997E-14</v>
      </c>
      <c r="E601" s="66">
        <v>2.0300000000000001E-3</v>
      </c>
      <c r="F601" s="66">
        <f>_xlfn.IFNA(INDEX('hp (pSv cm2)'!$B$2:$B$52,MATCH($C601,'hp (pSv cm2)'!$A$2:$A$52,1))+($C601-INDEX('hp (pSv cm2)'!$A$2:$A$52,MATCH($C601,'hp (pSv cm2)'!$A$2:$A$52,1)))*(INDEX('hp (pSv cm2)'!$B$2:$B$52,MATCH($C601,'hp (pSv cm2)'!$A$2:$A$52,1)+1)-INDEX('hp (pSv cm2)'!$B$2:$B$52,MATCH($C601,'hp (pSv cm2)'!$A$2:$A$52,1)))/(INDEX('hp (pSv cm2)'!$A$2:$A$52,MATCH($C601,'hp (pSv cm2)'!$A$2:$A$52,1)+1)-INDEX('hp (pSv cm2)'!$A$2:$A$52,MATCH($C601,'hp (pSv cm2)'!$A$2:$A$52,1))),$C601*'hp (pSv cm2)'!$B$2/'hp (pSv cm2)'!$A$2)</f>
        <v>1.649062</v>
      </c>
      <c r="G601" s="67">
        <f t="shared" si="42"/>
        <v>3.3475958600000001E-3</v>
      </c>
      <c r="H601" s="83">
        <f>_xlfn.IFNA(0.997*(INDEX('Mass attenuation coefficients'!$B$2:$B$37,MATCH($C601,'Mass attenuation coefficients'!$A$2:$A$37,1))+($C601-INDEX('Mass attenuation coefficients'!$A$2:$A$37,MATCH($C601,'Mass attenuation coefficients'!$A$2:$A$37,1)))*(INDEX('Mass attenuation coefficients'!$B$2:$B$37,MATCH($C601,'Mass attenuation coefficients'!$A$2:$A$37,1)+1)-INDEX('Mass attenuation coefficients'!$B$2:$B$37,MATCH($C601,'Mass attenuation coefficients'!$A$2:$A$37,1)))/(INDEX('Mass attenuation coefficients'!$A$2:$A$37,MATCH($C601,'Mass attenuation coefficients'!$A$2:$A$37,1)+1)-INDEX('Mass attenuation coefficients'!$A$2:$A$37,MATCH($C601,'Mass attenuation coefficients'!$A$2:$A$37,1)))),0.997*$C601*'Mass attenuation coefficients'!$B$2/'Mass attenuation coefficients'!$A$2)</f>
        <v>0.1147073425</v>
      </c>
      <c r="I601" s="83">
        <f>_xlfn.IFNA(INDEX('Shultis Faw'!$C$2:$C$26,MATCH($C601,'Shultis Faw'!$A$2:$A$26,1))+($C601-INDEX('Shultis Faw'!$A$2:$A$26,MATCH($C601,'Shultis Faw'!$A$2:$A$26,1)))*(INDEX('Shultis Faw'!$C$2:$C$26,MATCH($C601,'Shultis Faw'!$A$2:$A$26,1)+1)-INDEX('Shultis Faw'!$C$2:$C$26,MATCH($C601,'Shultis Faw'!$A$2:$A$26,1)))/(INDEX('Shultis Faw'!$A$2:$A$26,MATCH($C601,'Shultis Faw'!$A$2:$A$26,1)+1)-INDEX('Shultis Faw'!$A$2:$A$26,MATCH($C601,'Shultis Faw'!$A$2:$A$26,1))),$C601*'Shultis Faw'!$C$2/'Shultis Faw'!$A$2)</f>
        <v>2.846212</v>
      </c>
      <c r="J601" s="83">
        <f>_xlfn.IFNA(INDEX('Shultis Faw'!$D$2:$D$26,MATCH($C601,'Shultis Faw'!$A$2:$A$26,1))+($C601-INDEX('Shultis Faw'!$A$2:$A$26,MATCH($C601,'Shultis Faw'!$A$2:$A$26,1)))*(INDEX('Shultis Faw'!$D$2:$D$26,MATCH($C601,'Shultis Faw'!$A$2:$A$26,1)+1)-INDEX('Shultis Faw'!$D$2:$D$26,MATCH($C601,'Shultis Faw'!$A$2:$A$26,1)))/(INDEX('Shultis Faw'!$A$2:$A$26,MATCH($C601,'Shultis Faw'!$A$2:$A$26,1)+1)-INDEX('Shultis Faw'!$A$2:$A$26,MATCH($C601,'Shultis Faw'!$A$2:$A$26,1))),$C601*'Shultis Faw'!$D$2/'Shultis Faw'!$A$2)</f>
        <v>1.9822679999999999</v>
      </c>
      <c r="K601" s="83">
        <f>_xlfn.IFNA(INDEX('Shultis Faw'!$B$2:$B$26,MATCH($C601,'Shultis Faw'!$A$2:$A$26,1))+($C601-INDEX('Shultis Faw'!$A$2:$A$26,MATCH($C601,'Shultis Faw'!$A$2:$A$26,1)))*(INDEX('Shultis Faw'!$B$2:$B$26,MATCH($C601,'Shultis Faw'!$A$2:$A$26,1)+1)-INDEX('Shultis Faw'!$B$2:$B$26,MATCH($C601,'Shultis Faw'!$A$2:$A$26,1)))/(INDEX('Shultis Faw'!$A$2:$A$26,MATCH($C601,'Shultis Faw'!$A$2:$A$26,1)+1)-INDEX('Shultis Faw'!$A$2:$A$26,MATCH($C601,'Shultis Faw'!$A$2:$A$26,1))),$C601*'Shultis Faw'!$B$2/'Shultis Faw'!$A$2)</f>
        <v>-0.159743</v>
      </c>
      <c r="L601" s="83">
        <f>_xlfn.IFNA(INDEX('Shultis Faw'!$E$2:$E$26,MATCH($C601,'Shultis Faw'!$A$2:$A$26,1))+($C601-INDEX('Shultis Faw'!$A$2:$A$26,MATCH($C601,'Shultis Faw'!$A$2:$A$26,1)))*(INDEX('Shultis Faw'!$E$2:$E$26,MATCH($C601,'Shultis Faw'!$A$2:$A$26,1)+1)-INDEX('Shultis Faw'!$E$2:$E$26,MATCH($C601,'Shultis Faw'!$A$2:$A$26,1)))/(INDEX('Shultis Faw'!$A$2:$A$26,MATCH($C601,'Shultis Faw'!$A$2:$A$26,1)+1)-INDEX('Shultis Faw'!$A$2:$A$26,MATCH($C601,'Shultis Faw'!$A$2:$A$26,1))),$C601*'Shultis Faw'!$E$2/'Shultis Faw'!$A$2)</f>
        <v>6.3797199999999998E-2</v>
      </c>
      <c r="M601" s="83">
        <f>_xlfn.IFNA(INDEX('Shultis Faw'!$F$2:$F$26,MATCH($C601,'Shultis Faw'!$A$2:$A$26,1))+($C601-INDEX('Shultis Faw'!$A$2:$A$26,MATCH($C601,'Shultis Faw'!$A$2:$A$26,1)))*(INDEX('Shultis Faw'!$F$2:$F$26,MATCH($C601,'Shultis Faw'!$A$2:$A$26,1)+1)-INDEX('Shultis Faw'!$F$2:$F$26,MATCH($C601,'Shultis Faw'!$A$2:$A$26,1)))/(INDEX('Shultis Faw'!$A$2:$A$26,MATCH($C601,'Shultis Faw'!$A$2:$A$26,1)+1)-INDEX('Shultis Faw'!$A$2:$A$26,MATCH($C601,'Shultis Faw'!$A$2:$A$26,1))),$C601*'Shultis Faw'!$F$2/'Shultis Faw'!$A$2)</f>
        <v>14.218514000000001</v>
      </c>
      <c r="N601" s="83">
        <f>J601*(H601*'Externe blootstelling'!$D$23/2)^K601+L601*(TANH(((H601*'Externe blootstelling'!$D$23)/(2*M601))-2)-TANH(-2))/(1-TANH(-2))</f>
        <v>1.8179772446804181</v>
      </c>
      <c r="O601" s="83">
        <f>IF(N601=1,1+(I601-1)*H601*'Externe blootstelling'!$D$23/2,1+(I601-1)*(N601^(H601*'Externe blootstelling'!$D$23/2)-1)/(N601-1))</f>
        <v>5.0553011682403239</v>
      </c>
      <c r="P601" s="67">
        <f>G601*EXP(-H601*'Externe blootstelling'!$D$23/2)*O601</f>
        <v>3.0285069004895877E-3</v>
      </c>
      <c r="Q601" s="68"/>
    </row>
    <row r="602" spans="1:17" x14ac:dyDescent="0.2">
      <c r="A602" s="217"/>
      <c r="B602" s="64" t="s">
        <v>104</v>
      </c>
      <c r="C602" s="66">
        <v>0.33400999999999997</v>
      </c>
      <c r="D602" s="66">
        <f t="shared" si="40"/>
        <v>5.34416E-14</v>
      </c>
      <c r="E602" s="66">
        <v>1E-3</v>
      </c>
      <c r="F602" s="66">
        <f>_xlfn.IFNA(INDEX('hp (pSv cm2)'!$B$2:$B$52,MATCH($C602,'hp (pSv cm2)'!$A$2:$A$52,1))+($C602-INDEX('hp (pSv cm2)'!$A$2:$A$52,MATCH($C602,'hp (pSv cm2)'!$A$2:$A$52,1)))*(INDEX('hp (pSv cm2)'!$B$2:$B$52,MATCH($C602,'hp (pSv cm2)'!$A$2:$A$52,1)+1)-INDEX('hp (pSv cm2)'!$B$2:$B$52,MATCH($C602,'hp (pSv cm2)'!$A$2:$A$52,1)))/(INDEX('hp (pSv cm2)'!$A$2:$A$52,MATCH($C602,'hp (pSv cm2)'!$A$2:$A$52,1)+1)-INDEX('hp (pSv cm2)'!$A$2:$A$52,MATCH($C602,'hp (pSv cm2)'!$A$2:$A$52,1))),$C602*'hp (pSv cm2)'!$B$2/'hp (pSv cm2)'!$A$2)</f>
        <v>1.6766489999999998</v>
      </c>
      <c r="G602" s="67">
        <f t="shared" si="42"/>
        <v>1.6766489999999999E-3</v>
      </c>
      <c r="H602" s="83">
        <f>_xlfn.IFNA(0.997*(INDEX('Mass attenuation coefficients'!$B$2:$B$37,MATCH($C602,'Mass attenuation coefficients'!$A$2:$A$37,1))+($C602-INDEX('Mass attenuation coefficients'!$A$2:$A$37,MATCH($C602,'Mass attenuation coefficients'!$A$2:$A$37,1)))*(INDEX('Mass attenuation coefficients'!$B$2:$B$37,MATCH($C602,'Mass attenuation coefficients'!$A$2:$A$37,1)+1)-INDEX('Mass attenuation coefficients'!$B$2:$B$37,MATCH($C602,'Mass attenuation coefficients'!$A$2:$A$37,1)))/(INDEX('Mass attenuation coefficients'!$A$2:$A$37,MATCH($C602,'Mass attenuation coefficients'!$A$2:$A$37,1)+1)-INDEX('Mass attenuation coefficients'!$A$2:$A$37,MATCH($C602,'Mass attenuation coefficients'!$A$2:$A$37,1)))),0.997*$C602*'Mass attenuation coefficients'!$B$2/'Mass attenuation coefficients'!$A$2)</f>
        <v>0.11400570374999999</v>
      </c>
      <c r="I602" s="83">
        <f>_xlfn.IFNA(INDEX('Shultis Faw'!$C$2:$C$26,MATCH($C602,'Shultis Faw'!$A$2:$A$26,1))+($C602-INDEX('Shultis Faw'!$A$2:$A$26,MATCH($C602,'Shultis Faw'!$A$2:$A$26,1)))*(INDEX('Shultis Faw'!$C$2:$C$26,MATCH($C602,'Shultis Faw'!$A$2:$A$26,1)+1)-INDEX('Shultis Faw'!$C$2:$C$26,MATCH($C602,'Shultis Faw'!$A$2:$A$26,1)))/(INDEX('Shultis Faw'!$A$2:$A$26,MATCH($C602,'Shultis Faw'!$A$2:$A$26,1)+1)-INDEX('Shultis Faw'!$A$2:$A$26,MATCH($C602,'Shultis Faw'!$A$2:$A$26,1))),$C602*'Shultis Faw'!$C$2/'Shultis Faw'!$A$2)</f>
        <v>2.8315740000000003</v>
      </c>
      <c r="J602" s="83">
        <f>_xlfn.IFNA(INDEX('Shultis Faw'!$D$2:$D$26,MATCH($C602,'Shultis Faw'!$A$2:$A$26,1))+($C602-INDEX('Shultis Faw'!$A$2:$A$26,MATCH($C602,'Shultis Faw'!$A$2:$A$26,1)))*(INDEX('Shultis Faw'!$D$2:$D$26,MATCH($C602,'Shultis Faw'!$A$2:$A$26,1)+1)-INDEX('Shultis Faw'!$D$2:$D$26,MATCH($C602,'Shultis Faw'!$A$2:$A$26,1)))/(INDEX('Shultis Faw'!$A$2:$A$26,MATCH($C602,'Shultis Faw'!$A$2:$A$26,1)+1)-INDEX('Shultis Faw'!$A$2:$A$26,MATCH($C602,'Shultis Faw'!$A$2:$A$26,1))),$C602*'Shultis Faw'!$D$2/'Shultis Faw'!$A$2)</f>
        <v>1.974386</v>
      </c>
      <c r="K602" s="83">
        <f>_xlfn.IFNA(INDEX('Shultis Faw'!$B$2:$B$26,MATCH($C602,'Shultis Faw'!$A$2:$A$26,1))+($C602-INDEX('Shultis Faw'!$A$2:$A$26,MATCH($C602,'Shultis Faw'!$A$2:$A$26,1)))*(INDEX('Shultis Faw'!$B$2:$B$26,MATCH($C602,'Shultis Faw'!$A$2:$A$26,1)+1)-INDEX('Shultis Faw'!$B$2:$B$26,MATCH($C602,'Shultis Faw'!$A$2:$A$26,1)))/(INDEX('Shultis Faw'!$A$2:$A$26,MATCH($C602,'Shultis Faw'!$A$2:$A$26,1)+1)-INDEX('Shultis Faw'!$A$2:$A$26,MATCH($C602,'Shultis Faw'!$A$2:$A$26,1))),$C602*'Shultis Faw'!$B$2/'Shultis Faw'!$A$2)</f>
        <v>-0.1588985</v>
      </c>
      <c r="L602" s="83">
        <f>_xlfn.IFNA(INDEX('Shultis Faw'!$E$2:$E$26,MATCH($C602,'Shultis Faw'!$A$2:$A$26,1))+($C602-INDEX('Shultis Faw'!$A$2:$A$26,MATCH($C602,'Shultis Faw'!$A$2:$A$26,1)))*(INDEX('Shultis Faw'!$E$2:$E$26,MATCH($C602,'Shultis Faw'!$A$2:$A$26,1)+1)-INDEX('Shultis Faw'!$E$2:$E$26,MATCH($C602,'Shultis Faw'!$A$2:$A$26,1)))/(INDEX('Shultis Faw'!$A$2:$A$26,MATCH($C602,'Shultis Faw'!$A$2:$A$26,1)+1)-INDEX('Shultis Faw'!$A$2:$A$26,MATCH($C602,'Shultis Faw'!$A$2:$A$26,1))),$C602*'Shultis Faw'!$E$2/'Shultis Faw'!$A$2)</f>
        <v>6.3459399999999999E-2</v>
      </c>
      <c r="M602" s="83">
        <f>_xlfn.IFNA(INDEX('Shultis Faw'!$F$2:$F$26,MATCH($C602,'Shultis Faw'!$A$2:$A$26,1))+($C602-INDEX('Shultis Faw'!$A$2:$A$26,MATCH($C602,'Shultis Faw'!$A$2:$A$26,1)))*(INDEX('Shultis Faw'!$F$2:$F$26,MATCH($C602,'Shultis Faw'!$A$2:$A$26,1)+1)-INDEX('Shultis Faw'!$F$2:$F$26,MATCH($C602,'Shultis Faw'!$A$2:$A$26,1)))/(INDEX('Shultis Faw'!$A$2:$A$26,MATCH($C602,'Shultis Faw'!$A$2:$A$26,1)+1)-INDEX('Shultis Faw'!$A$2:$A$26,MATCH($C602,'Shultis Faw'!$A$2:$A$26,1))),$C602*'Shultis Faw'!$F$2/'Shultis Faw'!$A$2)</f>
        <v>14.220203000000001</v>
      </c>
      <c r="N602" s="83">
        <f>J602*(H602*'Externe blootstelling'!$D$23/2)^K602+L602*(TANH(((H602*'Externe blootstelling'!$D$23)/(2*M602))-2)-TANH(-2))/(1-TANH(-2))</f>
        <v>1.8133425438207218</v>
      </c>
      <c r="O602" s="83">
        <f>IF(N602=1,1+(I602-1)*H602*'Externe blootstelling'!$D$23/2,1+(I602-1)*(N602^(H602*'Externe blootstelling'!$D$23/2)-1)/(N602-1))</f>
        <v>4.9793182189457585</v>
      </c>
      <c r="P602" s="67">
        <f>G602*EXP(-H602*'Externe blootstelling'!$D$23/2)*O602</f>
        <v>1.5098413516836263E-3</v>
      </c>
      <c r="Q602" s="68"/>
    </row>
    <row r="603" spans="1:17" x14ac:dyDescent="0.2">
      <c r="A603" s="217"/>
      <c r="B603" s="64" t="s">
        <v>104</v>
      </c>
      <c r="C603" s="66">
        <v>0.33828199999999997</v>
      </c>
      <c r="D603" s="66">
        <f t="shared" si="40"/>
        <v>5.4125119999999994E-14</v>
      </c>
      <c r="E603" s="66">
        <v>2.8500000000000001E-2</v>
      </c>
      <c r="F603" s="66">
        <f>_xlfn.IFNA(INDEX('hp (pSv cm2)'!$B$2:$B$52,MATCH($C603,'hp (pSv cm2)'!$A$2:$A$52,1))+($C603-INDEX('hp (pSv cm2)'!$A$2:$A$52,MATCH($C603,'hp (pSv cm2)'!$A$2:$A$52,1)))*(INDEX('hp (pSv cm2)'!$B$2:$B$52,MATCH($C603,'hp (pSv cm2)'!$A$2:$A$52,1)+1)-INDEX('hp (pSv cm2)'!$B$2:$B$52,MATCH($C603,'hp (pSv cm2)'!$A$2:$A$52,1)))/(INDEX('hp (pSv cm2)'!$A$2:$A$52,MATCH($C603,'hp (pSv cm2)'!$A$2:$A$52,1)+1)-INDEX('hp (pSv cm2)'!$A$2:$A$52,MATCH($C603,'hp (pSv cm2)'!$A$2:$A$52,1))),$C603*'hp (pSv cm2)'!$B$2/'hp (pSv cm2)'!$A$2)</f>
        <v>1.6975817999999998</v>
      </c>
      <c r="G603" s="67">
        <f t="shared" si="42"/>
        <v>4.8381081299999996E-2</v>
      </c>
      <c r="H603" s="83">
        <f>_xlfn.IFNA(0.997*(INDEX('Mass attenuation coefficients'!$B$2:$B$37,MATCH($C603,'Mass attenuation coefficients'!$A$2:$A$37,1))+($C603-INDEX('Mass attenuation coefficients'!$A$2:$A$37,MATCH($C603,'Mass attenuation coefficients'!$A$2:$A$37,1)))*(INDEX('Mass attenuation coefficients'!$B$2:$B$37,MATCH($C603,'Mass attenuation coefficients'!$A$2:$A$37,1)+1)-INDEX('Mass attenuation coefficients'!$B$2:$B$37,MATCH($C603,'Mass attenuation coefficients'!$A$2:$A$37,1)))/(INDEX('Mass attenuation coefficients'!$A$2:$A$37,MATCH($C603,'Mass attenuation coefficients'!$A$2:$A$37,1)+1)-INDEX('Mass attenuation coefficients'!$A$2:$A$37,MATCH($C603,'Mass attenuation coefficients'!$A$2:$A$37,1)))),0.997*$C603*'Mass attenuation coefficients'!$B$2/'Mass attenuation coefficients'!$A$2)</f>
        <v>0.11347330575</v>
      </c>
      <c r="I603" s="83">
        <f>_xlfn.IFNA(INDEX('Shultis Faw'!$C$2:$C$26,MATCH($C603,'Shultis Faw'!$A$2:$A$26,1))+($C603-INDEX('Shultis Faw'!$A$2:$A$26,MATCH($C603,'Shultis Faw'!$A$2:$A$26,1)))*(INDEX('Shultis Faw'!$C$2:$C$26,MATCH($C603,'Shultis Faw'!$A$2:$A$26,1)+1)-INDEX('Shultis Faw'!$C$2:$C$26,MATCH($C603,'Shultis Faw'!$A$2:$A$26,1)))/(INDEX('Shultis Faw'!$A$2:$A$26,MATCH($C603,'Shultis Faw'!$A$2:$A$26,1)+1)-INDEX('Shultis Faw'!$A$2:$A$26,MATCH($C603,'Shultis Faw'!$A$2:$A$26,1))),$C603*'Shultis Faw'!$C$2/'Shultis Faw'!$A$2)</f>
        <v>2.8204668000000002</v>
      </c>
      <c r="J603" s="83">
        <f>_xlfn.IFNA(INDEX('Shultis Faw'!$D$2:$D$26,MATCH($C603,'Shultis Faw'!$A$2:$A$26,1))+($C603-INDEX('Shultis Faw'!$A$2:$A$26,MATCH($C603,'Shultis Faw'!$A$2:$A$26,1)))*(INDEX('Shultis Faw'!$D$2:$D$26,MATCH($C603,'Shultis Faw'!$A$2:$A$26,1)+1)-INDEX('Shultis Faw'!$D$2:$D$26,MATCH($C603,'Shultis Faw'!$A$2:$A$26,1)))/(INDEX('Shultis Faw'!$A$2:$A$26,MATCH($C603,'Shultis Faw'!$A$2:$A$26,1)+1)-INDEX('Shultis Faw'!$A$2:$A$26,MATCH($C603,'Shultis Faw'!$A$2:$A$26,1))),$C603*'Shultis Faw'!$D$2/'Shultis Faw'!$A$2)</f>
        <v>1.9684051999999999</v>
      </c>
      <c r="K603" s="83">
        <f>_xlfn.IFNA(INDEX('Shultis Faw'!$B$2:$B$26,MATCH($C603,'Shultis Faw'!$A$2:$A$26,1))+($C603-INDEX('Shultis Faw'!$A$2:$A$26,MATCH($C603,'Shultis Faw'!$A$2:$A$26,1)))*(INDEX('Shultis Faw'!$B$2:$B$26,MATCH($C603,'Shultis Faw'!$A$2:$A$26,1)+1)-INDEX('Shultis Faw'!$B$2:$B$26,MATCH($C603,'Shultis Faw'!$A$2:$A$26,1)))/(INDEX('Shultis Faw'!$A$2:$A$26,MATCH($C603,'Shultis Faw'!$A$2:$A$26,1)+1)-INDEX('Shultis Faw'!$A$2:$A$26,MATCH($C603,'Shultis Faw'!$A$2:$A$26,1))),$C603*'Shultis Faw'!$B$2/'Shultis Faw'!$A$2)</f>
        <v>-0.1582577</v>
      </c>
      <c r="L603" s="83">
        <f>_xlfn.IFNA(INDEX('Shultis Faw'!$E$2:$E$26,MATCH($C603,'Shultis Faw'!$A$2:$A$26,1))+($C603-INDEX('Shultis Faw'!$A$2:$A$26,MATCH($C603,'Shultis Faw'!$A$2:$A$26,1)))*(INDEX('Shultis Faw'!$E$2:$E$26,MATCH($C603,'Shultis Faw'!$A$2:$A$26,1)+1)-INDEX('Shultis Faw'!$E$2:$E$26,MATCH($C603,'Shultis Faw'!$A$2:$A$26,1)))/(INDEX('Shultis Faw'!$A$2:$A$26,MATCH($C603,'Shultis Faw'!$A$2:$A$26,1)+1)-INDEX('Shultis Faw'!$A$2:$A$26,MATCH($C603,'Shultis Faw'!$A$2:$A$26,1))),$C603*'Shultis Faw'!$E$2/'Shultis Faw'!$A$2)</f>
        <v>6.3203080000000009E-2</v>
      </c>
      <c r="M603" s="83">
        <f>_xlfn.IFNA(INDEX('Shultis Faw'!$F$2:$F$26,MATCH($C603,'Shultis Faw'!$A$2:$A$26,1))+($C603-INDEX('Shultis Faw'!$A$2:$A$26,MATCH($C603,'Shultis Faw'!$A$2:$A$26,1)))*(INDEX('Shultis Faw'!$F$2:$F$26,MATCH($C603,'Shultis Faw'!$A$2:$A$26,1)+1)-INDEX('Shultis Faw'!$F$2:$F$26,MATCH($C603,'Shultis Faw'!$A$2:$A$26,1)))/(INDEX('Shultis Faw'!$A$2:$A$26,MATCH($C603,'Shultis Faw'!$A$2:$A$26,1)+1)-INDEX('Shultis Faw'!$A$2:$A$26,MATCH($C603,'Shultis Faw'!$A$2:$A$26,1))),$C603*'Shultis Faw'!$F$2/'Shultis Faw'!$A$2)</f>
        <v>14.2214846</v>
      </c>
      <c r="N603" s="83">
        <f>J603*(H603*'Externe blootstelling'!$D$23/2)^K603+L603*(TANH(((H603*'Externe blootstelling'!$D$23)/(2*M603))-2)-TANH(-2))/(1-TANH(-2))</f>
        <v>1.8098091481048744</v>
      </c>
      <c r="O603" s="83">
        <f>IF(N603=1,1+(I603-1)*H603*'Externe blootstelling'!$D$23/2,1+(I603-1)*(N603^(H603*'Externe blootstelling'!$D$23/2)-1)/(N603-1))</f>
        <v>4.9224289370209204</v>
      </c>
      <c r="P603" s="67">
        <f>G603*EXP(-H603*'Externe blootstelling'!$D$23/2)*O603</f>
        <v>4.3415276136851914E-2</v>
      </c>
      <c r="Q603" s="68"/>
    </row>
    <row r="604" spans="1:17" x14ac:dyDescent="0.2">
      <c r="A604" s="217"/>
      <c r="B604" s="64" t="s">
        <v>104</v>
      </c>
      <c r="C604" s="66">
        <v>0.34277999999999997</v>
      </c>
      <c r="D604" s="66">
        <f t="shared" si="40"/>
        <v>5.4844799999999997E-14</v>
      </c>
      <c r="E604" s="66">
        <v>2.2599999999999999E-3</v>
      </c>
      <c r="F604" s="66">
        <f>_xlfn.IFNA(INDEX('hp (pSv cm2)'!$B$2:$B$52,MATCH($C604,'hp (pSv cm2)'!$A$2:$A$52,1))+($C604-INDEX('hp (pSv cm2)'!$A$2:$A$52,MATCH($C604,'hp (pSv cm2)'!$A$2:$A$52,1)))*(INDEX('hp (pSv cm2)'!$B$2:$B$52,MATCH($C604,'hp (pSv cm2)'!$A$2:$A$52,1)+1)-INDEX('hp (pSv cm2)'!$B$2:$B$52,MATCH($C604,'hp (pSv cm2)'!$A$2:$A$52,1)))/(INDEX('hp (pSv cm2)'!$A$2:$A$52,MATCH($C604,'hp (pSv cm2)'!$A$2:$A$52,1)+1)-INDEX('hp (pSv cm2)'!$A$2:$A$52,MATCH($C604,'hp (pSv cm2)'!$A$2:$A$52,1))),$C604*'hp (pSv cm2)'!$B$2/'hp (pSv cm2)'!$A$2)</f>
        <v>1.7196219999999998</v>
      </c>
      <c r="G604" s="67">
        <f t="shared" si="42"/>
        <v>3.8863457199999991E-3</v>
      </c>
      <c r="H604" s="83">
        <f>_xlfn.IFNA(0.997*(INDEX('Mass attenuation coefficients'!$B$2:$B$37,MATCH($C604,'Mass attenuation coefficients'!$A$2:$A$37,1))+($C604-INDEX('Mass attenuation coefficients'!$A$2:$A$37,MATCH($C604,'Mass attenuation coefficients'!$A$2:$A$37,1)))*(INDEX('Mass attenuation coefficients'!$B$2:$B$37,MATCH($C604,'Mass attenuation coefficients'!$A$2:$A$37,1)+1)-INDEX('Mass attenuation coefficients'!$B$2:$B$37,MATCH($C604,'Mass attenuation coefficients'!$A$2:$A$37,1)))/(INDEX('Mass attenuation coefficients'!$A$2:$A$37,MATCH($C604,'Mass attenuation coefficients'!$A$2:$A$37,1)+1)-INDEX('Mass attenuation coefficients'!$A$2:$A$37,MATCH($C604,'Mass attenuation coefficients'!$A$2:$A$37,1)))),0.997*$C604*'Mass attenuation coefficients'!$B$2/'Mass attenuation coefficients'!$A$2)</f>
        <v>0.11291274250000001</v>
      </c>
      <c r="I604" s="83">
        <f>_xlfn.IFNA(INDEX('Shultis Faw'!$C$2:$C$26,MATCH($C604,'Shultis Faw'!$A$2:$A$26,1))+($C604-INDEX('Shultis Faw'!$A$2:$A$26,MATCH($C604,'Shultis Faw'!$A$2:$A$26,1)))*(INDEX('Shultis Faw'!$C$2:$C$26,MATCH($C604,'Shultis Faw'!$A$2:$A$26,1)+1)-INDEX('Shultis Faw'!$C$2:$C$26,MATCH($C604,'Shultis Faw'!$A$2:$A$26,1)))/(INDEX('Shultis Faw'!$A$2:$A$26,MATCH($C604,'Shultis Faw'!$A$2:$A$26,1)+1)-INDEX('Shultis Faw'!$A$2:$A$26,MATCH($C604,'Shultis Faw'!$A$2:$A$26,1))),$C604*'Shultis Faw'!$C$2/'Shultis Faw'!$A$2)</f>
        <v>2.8087720000000003</v>
      </c>
      <c r="J604" s="83">
        <f>_xlfn.IFNA(INDEX('Shultis Faw'!$D$2:$D$26,MATCH($C604,'Shultis Faw'!$A$2:$A$26,1))+($C604-INDEX('Shultis Faw'!$A$2:$A$26,MATCH($C604,'Shultis Faw'!$A$2:$A$26,1)))*(INDEX('Shultis Faw'!$D$2:$D$26,MATCH($C604,'Shultis Faw'!$A$2:$A$26,1)+1)-INDEX('Shultis Faw'!$D$2:$D$26,MATCH($C604,'Shultis Faw'!$A$2:$A$26,1)))/(INDEX('Shultis Faw'!$A$2:$A$26,MATCH($C604,'Shultis Faw'!$A$2:$A$26,1)+1)-INDEX('Shultis Faw'!$A$2:$A$26,MATCH($C604,'Shultis Faw'!$A$2:$A$26,1))),$C604*'Shultis Faw'!$D$2/'Shultis Faw'!$A$2)</f>
        <v>1.962108</v>
      </c>
      <c r="K604" s="83">
        <f>_xlfn.IFNA(INDEX('Shultis Faw'!$B$2:$B$26,MATCH($C604,'Shultis Faw'!$A$2:$A$26,1))+($C604-INDEX('Shultis Faw'!$A$2:$A$26,MATCH($C604,'Shultis Faw'!$A$2:$A$26,1)))*(INDEX('Shultis Faw'!$B$2:$B$26,MATCH($C604,'Shultis Faw'!$A$2:$A$26,1)+1)-INDEX('Shultis Faw'!$B$2:$B$26,MATCH($C604,'Shultis Faw'!$A$2:$A$26,1)))/(INDEX('Shultis Faw'!$A$2:$A$26,MATCH($C604,'Shultis Faw'!$A$2:$A$26,1)+1)-INDEX('Shultis Faw'!$A$2:$A$26,MATCH($C604,'Shultis Faw'!$A$2:$A$26,1))),$C604*'Shultis Faw'!$B$2/'Shultis Faw'!$A$2)</f>
        <v>-0.157583</v>
      </c>
      <c r="L604" s="83">
        <f>_xlfn.IFNA(INDEX('Shultis Faw'!$E$2:$E$26,MATCH($C604,'Shultis Faw'!$A$2:$A$26,1))+($C604-INDEX('Shultis Faw'!$A$2:$A$26,MATCH($C604,'Shultis Faw'!$A$2:$A$26,1)))*(INDEX('Shultis Faw'!$E$2:$E$26,MATCH($C604,'Shultis Faw'!$A$2:$A$26,1)+1)-INDEX('Shultis Faw'!$E$2:$E$26,MATCH($C604,'Shultis Faw'!$A$2:$A$26,1)))/(INDEX('Shultis Faw'!$A$2:$A$26,MATCH($C604,'Shultis Faw'!$A$2:$A$26,1)+1)-INDEX('Shultis Faw'!$A$2:$A$26,MATCH($C604,'Shultis Faw'!$A$2:$A$26,1))),$C604*'Shultis Faw'!$E$2/'Shultis Faw'!$A$2)</f>
        <v>6.2933200000000009E-2</v>
      </c>
      <c r="M604" s="83">
        <f>_xlfn.IFNA(INDEX('Shultis Faw'!$F$2:$F$26,MATCH($C604,'Shultis Faw'!$A$2:$A$26,1))+($C604-INDEX('Shultis Faw'!$A$2:$A$26,MATCH($C604,'Shultis Faw'!$A$2:$A$26,1)))*(INDEX('Shultis Faw'!$F$2:$F$26,MATCH($C604,'Shultis Faw'!$A$2:$A$26,1)+1)-INDEX('Shultis Faw'!$F$2:$F$26,MATCH($C604,'Shultis Faw'!$A$2:$A$26,1)))/(INDEX('Shultis Faw'!$A$2:$A$26,MATCH($C604,'Shultis Faw'!$A$2:$A$26,1)+1)-INDEX('Shultis Faw'!$A$2:$A$26,MATCH($C604,'Shultis Faw'!$A$2:$A$26,1))),$C604*'Shultis Faw'!$F$2/'Shultis Faw'!$A$2)</f>
        <v>14.222834000000001</v>
      </c>
      <c r="N604" s="83">
        <f>J604*(H604*'Externe blootstelling'!$D$23/2)^K604+L604*(TANH(((H604*'Externe blootstelling'!$D$23)/(2*M604))-2)-TANH(-2))/(1-TANH(-2))</f>
        <v>1.8060733174859487</v>
      </c>
      <c r="O604" s="83">
        <f>IF(N604=1,1+(I604-1)*H604*'Externe blootstelling'!$D$23/2,1+(I604-1)*(N604^(H604*'Externe blootstelling'!$D$23/2)-1)/(N604-1))</f>
        <v>4.8632359557695386</v>
      </c>
      <c r="P604" s="67">
        <f>G604*EXP(-H604*'Externe blootstelling'!$D$23/2)*O604</f>
        <v>3.4746099422383351E-3</v>
      </c>
      <c r="Q604" s="68"/>
    </row>
    <row r="605" spans="1:17" x14ac:dyDescent="0.2">
      <c r="A605" s="217"/>
      <c r="B605" s="64" t="s">
        <v>104</v>
      </c>
      <c r="C605" s="66">
        <v>0.35549999999999998</v>
      </c>
      <c r="D605" s="66">
        <f t="shared" si="40"/>
        <v>5.6879999999999993E-14</v>
      </c>
      <c r="E605" s="66">
        <v>4.3000000000000002E-5</v>
      </c>
      <c r="F605" s="66">
        <f>_xlfn.IFNA(INDEX('hp (pSv cm2)'!$B$2:$B$52,MATCH($C605,'hp (pSv cm2)'!$A$2:$A$52,1))+($C605-INDEX('hp (pSv cm2)'!$A$2:$A$52,MATCH($C605,'hp (pSv cm2)'!$A$2:$A$52,1)))*(INDEX('hp (pSv cm2)'!$B$2:$B$52,MATCH($C605,'hp (pSv cm2)'!$A$2:$A$52,1)+1)-INDEX('hp (pSv cm2)'!$B$2:$B$52,MATCH($C605,'hp (pSv cm2)'!$A$2:$A$52,1)))/(INDEX('hp (pSv cm2)'!$A$2:$A$52,MATCH($C605,'hp (pSv cm2)'!$A$2:$A$52,1)+1)-INDEX('hp (pSv cm2)'!$A$2:$A$52,MATCH($C605,'hp (pSv cm2)'!$A$2:$A$52,1))),$C605*'hp (pSv cm2)'!$B$2/'hp (pSv cm2)'!$A$2)</f>
        <v>1.7819499999999999</v>
      </c>
      <c r="G605" s="67">
        <f t="shared" si="42"/>
        <v>7.6623849999999993E-5</v>
      </c>
      <c r="H605" s="83">
        <f>_xlfn.IFNA(0.997*(INDEX('Mass attenuation coefficients'!$B$2:$B$37,MATCH($C605,'Mass attenuation coefficients'!$A$2:$A$37,1))+($C605-INDEX('Mass attenuation coefficients'!$A$2:$A$37,MATCH($C605,'Mass attenuation coefficients'!$A$2:$A$37,1)))*(INDEX('Mass attenuation coefficients'!$B$2:$B$37,MATCH($C605,'Mass attenuation coefficients'!$A$2:$A$37,1)+1)-INDEX('Mass attenuation coefficients'!$B$2:$B$37,MATCH($C605,'Mass attenuation coefficients'!$A$2:$A$37,1)))/(INDEX('Mass attenuation coefficients'!$A$2:$A$37,MATCH($C605,'Mass attenuation coefficients'!$A$2:$A$37,1)+1)-INDEX('Mass attenuation coefficients'!$A$2:$A$37,MATCH($C605,'Mass attenuation coefficients'!$A$2:$A$37,1)))),0.997*$C605*'Mass attenuation coefficients'!$B$2/'Mass attenuation coefficients'!$A$2)</f>
        <v>0.1113275125</v>
      </c>
      <c r="I605" s="83">
        <f>_xlfn.IFNA(INDEX('Shultis Faw'!$C$2:$C$26,MATCH($C605,'Shultis Faw'!$A$2:$A$26,1))+($C605-INDEX('Shultis Faw'!$A$2:$A$26,MATCH($C605,'Shultis Faw'!$A$2:$A$26,1)))*(INDEX('Shultis Faw'!$C$2:$C$26,MATCH($C605,'Shultis Faw'!$A$2:$A$26,1)+1)-INDEX('Shultis Faw'!$C$2:$C$26,MATCH($C605,'Shultis Faw'!$A$2:$A$26,1)))/(INDEX('Shultis Faw'!$A$2:$A$26,MATCH($C605,'Shultis Faw'!$A$2:$A$26,1)+1)-INDEX('Shultis Faw'!$A$2:$A$26,MATCH($C605,'Shultis Faw'!$A$2:$A$26,1))),$C605*'Shultis Faw'!$C$2/'Shultis Faw'!$A$2)</f>
        <v>2.7757000000000001</v>
      </c>
      <c r="J605" s="83">
        <f>_xlfn.IFNA(INDEX('Shultis Faw'!$D$2:$D$26,MATCH($C605,'Shultis Faw'!$A$2:$A$26,1))+($C605-INDEX('Shultis Faw'!$A$2:$A$26,MATCH($C605,'Shultis Faw'!$A$2:$A$26,1)))*(INDEX('Shultis Faw'!$D$2:$D$26,MATCH($C605,'Shultis Faw'!$A$2:$A$26,1)+1)-INDEX('Shultis Faw'!$D$2:$D$26,MATCH($C605,'Shultis Faw'!$A$2:$A$26,1)))/(INDEX('Shultis Faw'!$A$2:$A$26,MATCH($C605,'Shultis Faw'!$A$2:$A$26,1)+1)-INDEX('Shultis Faw'!$A$2:$A$26,MATCH($C605,'Shultis Faw'!$A$2:$A$26,1))),$C605*'Shultis Faw'!$D$2/'Shultis Faw'!$A$2)</f>
        <v>1.9442999999999999</v>
      </c>
      <c r="K605" s="83">
        <f>_xlfn.IFNA(INDEX('Shultis Faw'!$B$2:$B$26,MATCH($C605,'Shultis Faw'!$A$2:$A$26,1))+($C605-INDEX('Shultis Faw'!$A$2:$A$26,MATCH($C605,'Shultis Faw'!$A$2:$A$26,1)))*(INDEX('Shultis Faw'!$B$2:$B$26,MATCH($C605,'Shultis Faw'!$A$2:$A$26,1)+1)-INDEX('Shultis Faw'!$B$2:$B$26,MATCH($C605,'Shultis Faw'!$A$2:$A$26,1)))/(INDEX('Shultis Faw'!$A$2:$A$26,MATCH($C605,'Shultis Faw'!$A$2:$A$26,1)+1)-INDEX('Shultis Faw'!$A$2:$A$26,MATCH($C605,'Shultis Faw'!$A$2:$A$26,1))),$C605*'Shultis Faw'!$B$2/'Shultis Faw'!$A$2)</f>
        <v>-0.15567500000000001</v>
      </c>
      <c r="L605" s="83">
        <f>_xlfn.IFNA(INDEX('Shultis Faw'!$E$2:$E$26,MATCH($C605,'Shultis Faw'!$A$2:$A$26,1))+($C605-INDEX('Shultis Faw'!$A$2:$A$26,MATCH($C605,'Shultis Faw'!$A$2:$A$26,1)))*(INDEX('Shultis Faw'!$E$2:$E$26,MATCH($C605,'Shultis Faw'!$A$2:$A$26,1)+1)-INDEX('Shultis Faw'!$E$2:$E$26,MATCH($C605,'Shultis Faw'!$A$2:$A$26,1)))/(INDEX('Shultis Faw'!$A$2:$A$26,MATCH($C605,'Shultis Faw'!$A$2:$A$26,1)+1)-INDEX('Shultis Faw'!$A$2:$A$26,MATCH($C605,'Shultis Faw'!$A$2:$A$26,1))),$C605*'Shultis Faw'!$E$2/'Shultis Faw'!$A$2)</f>
        <v>6.2170000000000003E-2</v>
      </c>
      <c r="M605" s="83">
        <f>_xlfn.IFNA(INDEX('Shultis Faw'!$F$2:$F$26,MATCH($C605,'Shultis Faw'!$A$2:$A$26,1))+($C605-INDEX('Shultis Faw'!$A$2:$A$26,MATCH($C605,'Shultis Faw'!$A$2:$A$26,1)))*(INDEX('Shultis Faw'!$F$2:$F$26,MATCH($C605,'Shultis Faw'!$A$2:$A$26,1)+1)-INDEX('Shultis Faw'!$F$2:$F$26,MATCH($C605,'Shultis Faw'!$A$2:$A$26,1)))/(INDEX('Shultis Faw'!$A$2:$A$26,MATCH($C605,'Shultis Faw'!$A$2:$A$26,1)+1)-INDEX('Shultis Faw'!$A$2:$A$26,MATCH($C605,'Shultis Faw'!$A$2:$A$26,1))),$C605*'Shultis Faw'!$F$2/'Shultis Faw'!$A$2)</f>
        <v>14.226650000000001</v>
      </c>
      <c r="N605" s="83">
        <f>J605*(H605*'Externe blootstelling'!$D$23/2)^K605+L605*(TANH(((H605*'Externe blootstelling'!$D$23)/(2*M605))-2)-TANH(-2))/(1-TANH(-2))</f>
        <v>1.7954224925843618</v>
      </c>
      <c r="O605" s="83">
        <f>IF(N605=1,1+(I605-1)*H605*'Externe blootstelling'!$D$23/2,1+(I605-1)*(N605^(H605*'Externe blootstelling'!$D$23/2)-1)/(N605-1))</f>
        <v>4.6996932312840061</v>
      </c>
      <c r="P605" s="67">
        <f>G605*EXP(-H605*'Externe blootstelling'!$D$23/2)*O605</f>
        <v>6.7795304347294529E-5</v>
      </c>
      <c r="Q605" s="68"/>
    </row>
    <row r="606" spans="1:17" x14ac:dyDescent="0.2">
      <c r="A606" s="217"/>
      <c r="B606" s="64" t="s">
        <v>104</v>
      </c>
      <c r="C606" s="66">
        <v>0.35570000000000002</v>
      </c>
      <c r="D606" s="66">
        <f t="shared" si="40"/>
        <v>5.6912E-14</v>
      </c>
      <c r="E606" s="66">
        <v>2.8E-5</v>
      </c>
      <c r="F606" s="66">
        <f>_xlfn.IFNA(INDEX('hp (pSv cm2)'!$B$2:$B$52,MATCH($C606,'hp (pSv cm2)'!$A$2:$A$52,1))+($C606-INDEX('hp (pSv cm2)'!$A$2:$A$52,MATCH($C606,'hp (pSv cm2)'!$A$2:$A$52,1)))*(INDEX('hp (pSv cm2)'!$B$2:$B$52,MATCH($C606,'hp (pSv cm2)'!$A$2:$A$52,1)+1)-INDEX('hp (pSv cm2)'!$B$2:$B$52,MATCH($C606,'hp (pSv cm2)'!$A$2:$A$52,1)))/(INDEX('hp (pSv cm2)'!$A$2:$A$52,MATCH($C606,'hp (pSv cm2)'!$A$2:$A$52,1)+1)-INDEX('hp (pSv cm2)'!$A$2:$A$52,MATCH($C606,'hp (pSv cm2)'!$A$2:$A$52,1))),$C606*'hp (pSv cm2)'!$B$2/'hp (pSv cm2)'!$A$2)</f>
        <v>1.7829299999999999</v>
      </c>
      <c r="G606" s="67">
        <f t="shared" si="42"/>
        <v>4.9922039999999997E-5</v>
      </c>
      <c r="H606" s="83">
        <f>_xlfn.IFNA(0.997*(INDEX('Mass attenuation coefficients'!$B$2:$B$37,MATCH($C606,'Mass attenuation coefficients'!$A$2:$A$37,1))+($C606-INDEX('Mass attenuation coefficients'!$A$2:$A$37,MATCH($C606,'Mass attenuation coefficients'!$A$2:$A$37,1)))*(INDEX('Mass attenuation coefficients'!$B$2:$B$37,MATCH($C606,'Mass attenuation coefficients'!$A$2:$A$37,1)+1)-INDEX('Mass attenuation coefficients'!$B$2:$B$37,MATCH($C606,'Mass attenuation coefficients'!$A$2:$A$37,1)))/(INDEX('Mass attenuation coefficients'!$A$2:$A$37,MATCH($C606,'Mass attenuation coefficients'!$A$2:$A$37,1)+1)-INDEX('Mass attenuation coefficients'!$A$2:$A$37,MATCH($C606,'Mass attenuation coefficients'!$A$2:$A$37,1)))),0.997*$C606*'Mass attenuation coefficients'!$B$2/'Mass attenuation coefficients'!$A$2)</f>
        <v>0.11130258749999999</v>
      </c>
      <c r="I606" s="83">
        <f>_xlfn.IFNA(INDEX('Shultis Faw'!$C$2:$C$26,MATCH($C606,'Shultis Faw'!$A$2:$A$26,1))+($C606-INDEX('Shultis Faw'!$A$2:$A$26,MATCH($C606,'Shultis Faw'!$A$2:$A$26,1)))*(INDEX('Shultis Faw'!$C$2:$C$26,MATCH($C606,'Shultis Faw'!$A$2:$A$26,1)+1)-INDEX('Shultis Faw'!$C$2:$C$26,MATCH($C606,'Shultis Faw'!$A$2:$A$26,1)))/(INDEX('Shultis Faw'!$A$2:$A$26,MATCH($C606,'Shultis Faw'!$A$2:$A$26,1)+1)-INDEX('Shultis Faw'!$A$2:$A$26,MATCH($C606,'Shultis Faw'!$A$2:$A$26,1))),$C606*'Shultis Faw'!$C$2/'Shultis Faw'!$A$2)</f>
        <v>2.7751800000000002</v>
      </c>
      <c r="J606" s="83">
        <f>_xlfn.IFNA(INDEX('Shultis Faw'!$D$2:$D$26,MATCH($C606,'Shultis Faw'!$A$2:$A$26,1))+($C606-INDEX('Shultis Faw'!$A$2:$A$26,MATCH($C606,'Shultis Faw'!$A$2:$A$26,1)))*(INDEX('Shultis Faw'!$D$2:$D$26,MATCH($C606,'Shultis Faw'!$A$2:$A$26,1)+1)-INDEX('Shultis Faw'!$D$2:$D$26,MATCH($C606,'Shultis Faw'!$A$2:$A$26,1)))/(INDEX('Shultis Faw'!$A$2:$A$26,MATCH($C606,'Shultis Faw'!$A$2:$A$26,1)+1)-INDEX('Shultis Faw'!$A$2:$A$26,MATCH($C606,'Shultis Faw'!$A$2:$A$26,1))),$C606*'Shultis Faw'!$D$2/'Shultis Faw'!$A$2)</f>
        <v>1.9440199999999999</v>
      </c>
      <c r="K606" s="83">
        <f>_xlfn.IFNA(INDEX('Shultis Faw'!$B$2:$B$26,MATCH($C606,'Shultis Faw'!$A$2:$A$26,1))+($C606-INDEX('Shultis Faw'!$A$2:$A$26,MATCH($C606,'Shultis Faw'!$A$2:$A$26,1)))*(INDEX('Shultis Faw'!$B$2:$B$26,MATCH($C606,'Shultis Faw'!$A$2:$A$26,1)+1)-INDEX('Shultis Faw'!$B$2:$B$26,MATCH($C606,'Shultis Faw'!$A$2:$A$26,1)))/(INDEX('Shultis Faw'!$A$2:$A$26,MATCH($C606,'Shultis Faw'!$A$2:$A$26,1)+1)-INDEX('Shultis Faw'!$A$2:$A$26,MATCH($C606,'Shultis Faw'!$A$2:$A$26,1))),$C606*'Shultis Faw'!$B$2/'Shultis Faw'!$A$2)</f>
        <v>-0.15564500000000001</v>
      </c>
      <c r="L606" s="83">
        <f>_xlfn.IFNA(INDEX('Shultis Faw'!$E$2:$E$26,MATCH($C606,'Shultis Faw'!$A$2:$A$26,1))+($C606-INDEX('Shultis Faw'!$A$2:$A$26,MATCH($C606,'Shultis Faw'!$A$2:$A$26,1)))*(INDEX('Shultis Faw'!$E$2:$E$26,MATCH($C606,'Shultis Faw'!$A$2:$A$26,1)+1)-INDEX('Shultis Faw'!$E$2:$E$26,MATCH($C606,'Shultis Faw'!$A$2:$A$26,1)))/(INDEX('Shultis Faw'!$A$2:$A$26,MATCH($C606,'Shultis Faw'!$A$2:$A$26,1)+1)-INDEX('Shultis Faw'!$A$2:$A$26,MATCH($C606,'Shultis Faw'!$A$2:$A$26,1))),$C606*'Shultis Faw'!$E$2/'Shultis Faw'!$A$2)</f>
        <v>6.2157999999999998E-2</v>
      </c>
      <c r="M606" s="83">
        <f>_xlfn.IFNA(INDEX('Shultis Faw'!$F$2:$F$26,MATCH($C606,'Shultis Faw'!$A$2:$A$26,1))+($C606-INDEX('Shultis Faw'!$A$2:$A$26,MATCH($C606,'Shultis Faw'!$A$2:$A$26,1)))*(INDEX('Shultis Faw'!$F$2:$F$26,MATCH($C606,'Shultis Faw'!$A$2:$A$26,1)+1)-INDEX('Shultis Faw'!$F$2:$F$26,MATCH($C606,'Shultis Faw'!$A$2:$A$26,1)))/(INDEX('Shultis Faw'!$A$2:$A$26,MATCH($C606,'Shultis Faw'!$A$2:$A$26,1)+1)-INDEX('Shultis Faw'!$A$2:$A$26,MATCH($C606,'Shultis Faw'!$A$2:$A$26,1))),$C606*'Shultis Faw'!$F$2/'Shultis Faw'!$A$2)</f>
        <v>14.226710000000001</v>
      </c>
      <c r="N606" s="83">
        <f>J606*(H606*'Externe blootstelling'!$D$23/2)^K606+L606*(TANH(((H606*'Externe blootstelling'!$D$23)/(2*M606))-2)-TANH(-2))/(1-TANH(-2))</f>
        <v>1.795254009280002</v>
      </c>
      <c r="O606" s="83">
        <f>IF(N606=1,1+(I606-1)*H606*'Externe blootstelling'!$D$23/2,1+(I606-1)*(N606^(H606*'Externe blootstelling'!$D$23/2)-1)/(N606-1))</f>
        <v>4.6971665865234158</v>
      </c>
      <c r="P606" s="67">
        <f>G606*EXP(-H606*'Externe blootstelling'!$D$23/2)*O606</f>
        <v>4.4162819579593646E-5</v>
      </c>
      <c r="Q606" s="68"/>
    </row>
    <row r="607" spans="1:17" x14ac:dyDescent="0.2">
      <c r="A607" s="217"/>
      <c r="B607" s="64" t="s">
        <v>104</v>
      </c>
      <c r="C607" s="66">
        <v>0.36188999999999999</v>
      </c>
      <c r="D607" s="66">
        <f t="shared" si="40"/>
        <v>5.7902399999999995E-14</v>
      </c>
      <c r="E607" s="66">
        <v>2.8000000000000003E-4</v>
      </c>
      <c r="F607" s="66">
        <f>_xlfn.IFNA(INDEX('hp (pSv cm2)'!$B$2:$B$52,MATCH($C607,'hp (pSv cm2)'!$A$2:$A$52,1))+($C607-INDEX('hp (pSv cm2)'!$A$2:$A$52,MATCH($C607,'hp (pSv cm2)'!$A$2:$A$52,1)))*(INDEX('hp (pSv cm2)'!$B$2:$B$52,MATCH($C607,'hp (pSv cm2)'!$A$2:$A$52,1)+1)-INDEX('hp (pSv cm2)'!$B$2:$B$52,MATCH($C607,'hp (pSv cm2)'!$A$2:$A$52,1)))/(INDEX('hp (pSv cm2)'!$A$2:$A$52,MATCH($C607,'hp (pSv cm2)'!$A$2:$A$52,1)+1)-INDEX('hp (pSv cm2)'!$A$2:$A$52,MATCH($C607,'hp (pSv cm2)'!$A$2:$A$52,1))),$C607*'hp (pSv cm2)'!$B$2/'hp (pSv cm2)'!$A$2)</f>
        <v>1.8132609999999998</v>
      </c>
      <c r="G607" s="67">
        <f t="shared" si="42"/>
        <v>5.0771308000000003E-4</v>
      </c>
      <c r="H607" s="83">
        <f>_xlfn.IFNA(0.997*(INDEX('Mass attenuation coefficients'!$B$2:$B$37,MATCH($C607,'Mass attenuation coefficients'!$A$2:$A$37,1))+($C607-INDEX('Mass attenuation coefficients'!$A$2:$A$37,MATCH($C607,'Mass attenuation coefficients'!$A$2:$A$37,1)))*(INDEX('Mass attenuation coefficients'!$B$2:$B$37,MATCH($C607,'Mass attenuation coefficients'!$A$2:$A$37,1)+1)-INDEX('Mass attenuation coefficients'!$B$2:$B$37,MATCH($C607,'Mass attenuation coefficients'!$A$2:$A$37,1)))/(INDEX('Mass attenuation coefficients'!$A$2:$A$37,MATCH($C607,'Mass attenuation coefficients'!$A$2:$A$37,1)+1)-INDEX('Mass attenuation coefficients'!$A$2:$A$37,MATCH($C607,'Mass attenuation coefficients'!$A$2:$A$37,1)))),0.997*$C607*'Mass attenuation coefficients'!$B$2/'Mass attenuation coefficients'!$A$2)</f>
        <v>0.11053115875</v>
      </c>
      <c r="I607" s="83">
        <f>_xlfn.IFNA(INDEX('Shultis Faw'!$C$2:$C$26,MATCH($C607,'Shultis Faw'!$A$2:$A$26,1))+($C607-INDEX('Shultis Faw'!$A$2:$A$26,MATCH($C607,'Shultis Faw'!$A$2:$A$26,1)))*(INDEX('Shultis Faw'!$C$2:$C$26,MATCH($C607,'Shultis Faw'!$A$2:$A$26,1)+1)-INDEX('Shultis Faw'!$C$2:$C$26,MATCH($C607,'Shultis Faw'!$A$2:$A$26,1)))/(INDEX('Shultis Faw'!$A$2:$A$26,MATCH($C607,'Shultis Faw'!$A$2:$A$26,1)+1)-INDEX('Shultis Faw'!$A$2:$A$26,MATCH($C607,'Shultis Faw'!$A$2:$A$26,1))),$C607*'Shultis Faw'!$C$2/'Shultis Faw'!$A$2)</f>
        <v>2.7590859999999999</v>
      </c>
      <c r="J607" s="83">
        <f>_xlfn.IFNA(INDEX('Shultis Faw'!$D$2:$D$26,MATCH($C607,'Shultis Faw'!$A$2:$A$26,1))+($C607-INDEX('Shultis Faw'!$A$2:$A$26,MATCH($C607,'Shultis Faw'!$A$2:$A$26,1)))*(INDEX('Shultis Faw'!$D$2:$D$26,MATCH($C607,'Shultis Faw'!$A$2:$A$26,1)+1)-INDEX('Shultis Faw'!$D$2:$D$26,MATCH($C607,'Shultis Faw'!$A$2:$A$26,1)))/(INDEX('Shultis Faw'!$A$2:$A$26,MATCH($C607,'Shultis Faw'!$A$2:$A$26,1)+1)-INDEX('Shultis Faw'!$A$2:$A$26,MATCH($C607,'Shultis Faw'!$A$2:$A$26,1))),$C607*'Shultis Faw'!$D$2/'Shultis Faw'!$A$2)</f>
        <v>1.9353539999999998</v>
      </c>
      <c r="K607" s="83">
        <f>_xlfn.IFNA(INDEX('Shultis Faw'!$B$2:$B$26,MATCH($C607,'Shultis Faw'!$A$2:$A$26,1))+($C607-INDEX('Shultis Faw'!$A$2:$A$26,MATCH($C607,'Shultis Faw'!$A$2:$A$26,1)))*(INDEX('Shultis Faw'!$B$2:$B$26,MATCH($C607,'Shultis Faw'!$A$2:$A$26,1)+1)-INDEX('Shultis Faw'!$B$2:$B$26,MATCH($C607,'Shultis Faw'!$A$2:$A$26,1)))/(INDEX('Shultis Faw'!$A$2:$A$26,MATCH($C607,'Shultis Faw'!$A$2:$A$26,1)+1)-INDEX('Shultis Faw'!$A$2:$A$26,MATCH($C607,'Shultis Faw'!$A$2:$A$26,1))),$C607*'Shultis Faw'!$B$2/'Shultis Faw'!$A$2)</f>
        <v>-0.15471650000000001</v>
      </c>
      <c r="L607" s="83">
        <f>_xlfn.IFNA(INDEX('Shultis Faw'!$E$2:$E$26,MATCH($C607,'Shultis Faw'!$A$2:$A$26,1))+($C607-INDEX('Shultis Faw'!$A$2:$A$26,MATCH($C607,'Shultis Faw'!$A$2:$A$26,1)))*(INDEX('Shultis Faw'!$E$2:$E$26,MATCH($C607,'Shultis Faw'!$A$2:$A$26,1)+1)-INDEX('Shultis Faw'!$E$2:$E$26,MATCH($C607,'Shultis Faw'!$A$2:$A$26,1)))/(INDEX('Shultis Faw'!$A$2:$A$26,MATCH($C607,'Shultis Faw'!$A$2:$A$26,1)+1)-INDEX('Shultis Faw'!$A$2:$A$26,MATCH($C607,'Shultis Faw'!$A$2:$A$26,1))),$C607*'Shultis Faw'!$E$2/'Shultis Faw'!$A$2)</f>
        <v>6.1786599999999997E-2</v>
      </c>
      <c r="M607" s="83">
        <f>_xlfn.IFNA(INDEX('Shultis Faw'!$F$2:$F$26,MATCH($C607,'Shultis Faw'!$A$2:$A$26,1))+($C607-INDEX('Shultis Faw'!$A$2:$A$26,MATCH($C607,'Shultis Faw'!$A$2:$A$26,1)))*(INDEX('Shultis Faw'!$F$2:$F$26,MATCH($C607,'Shultis Faw'!$A$2:$A$26,1)+1)-INDEX('Shultis Faw'!$F$2:$F$26,MATCH($C607,'Shultis Faw'!$A$2:$A$26,1)))/(INDEX('Shultis Faw'!$A$2:$A$26,MATCH($C607,'Shultis Faw'!$A$2:$A$26,1)+1)-INDEX('Shultis Faw'!$A$2:$A$26,MATCH($C607,'Shultis Faw'!$A$2:$A$26,1))),$C607*'Shultis Faw'!$F$2/'Shultis Faw'!$A$2)</f>
        <v>14.228567</v>
      </c>
      <c r="N607" s="83">
        <f>J607*(H607*'Externe blootstelling'!$D$23/2)^K607+L607*(TANH(((H607*'Externe blootstelling'!$D$23)/(2*M607))-2)-TANH(-2))/(1-TANH(-2))</f>
        <v>1.7900238643903299</v>
      </c>
      <c r="O607" s="83">
        <f>IF(N607=1,1+(I607-1)*H607*'Externe blootstelling'!$D$23/2,1+(I607-1)*(N607^(H607*'Externe blootstelling'!$D$23/2)-1)/(N607-1))</f>
        <v>4.6196416876086737</v>
      </c>
      <c r="P607" s="67">
        <f>G607*EXP(-H607*'Externe blootstelling'!$D$23/2)*O607</f>
        <v>4.4686934056975959E-4</v>
      </c>
      <c r="Q607" s="68"/>
    </row>
    <row r="608" spans="1:17" x14ac:dyDescent="0.2">
      <c r="A608" s="217"/>
      <c r="B608" s="64" t="s">
        <v>104</v>
      </c>
      <c r="C608" s="66">
        <v>0.3629</v>
      </c>
      <c r="D608" s="66">
        <f t="shared" si="40"/>
        <v>5.8063999999999994E-14</v>
      </c>
      <c r="E608" s="66">
        <v>1.6000000000000001E-4</v>
      </c>
      <c r="F608" s="66">
        <f>_xlfn.IFNA(INDEX('hp (pSv cm2)'!$B$2:$B$52,MATCH($C608,'hp (pSv cm2)'!$A$2:$A$52,1))+($C608-INDEX('hp (pSv cm2)'!$A$2:$A$52,MATCH($C608,'hp (pSv cm2)'!$A$2:$A$52,1)))*(INDEX('hp (pSv cm2)'!$B$2:$B$52,MATCH($C608,'hp (pSv cm2)'!$A$2:$A$52,1)+1)-INDEX('hp (pSv cm2)'!$B$2:$B$52,MATCH($C608,'hp (pSv cm2)'!$A$2:$A$52,1)))/(INDEX('hp (pSv cm2)'!$A$2:$A$52,MATCH($C608,'hp (pSv cm2)'!$A$2:$A$52,1)+1)-INDEX('hp (pSv cm2)'!$A$2:$A$52,MATCH($C608,'hp (pSv cm2)'!$A$2:$A$52,1))),$C608*'hp (pSv cm2)'!$B$2/'hp (pSv cm2)'!$A$2)</f>
        <v>1.8182099999999999</v>
      </c>
      <c r="G608" s="67">
        <f t="shared" si="42"/>
        <v>2.909136E-4</v>
      </c>
      <c r="H608" s="83">
        <f>_xlfn.IFNA(0.997*(INDEX('Mass attenuation coefficients'!$B$2:$B$37,MATCH($C608,'Mass attenuation coefficients'!$A$2:$A$37,1))+($C608-INDEX('Mass attenuation coefficients'!$A$2:$A$37,MATCH($C608,'Mass attenuation coefficients'!$A$2:$A$37,1)))*(INDEX('Mass attenuation coefficients'!$B$2:$B$37,MATCH($C608,'Mass attenuation coefficients'!$A$2:$A$37,1)+1)-INDEX('Mass attenuation coefficients'!$B$2:$B$37,MATCH($C608,'Mass attenuation coefficients'!$A$2:$A$37,1)))/(INDEX('Mass attenuation coefficients'!$A$2:$A$37,MATCH($C608,'Mass attenuation coefficients'!$A$2:$A$37,1)+1)-INDEX('Mass attenuation coefficients'!$A$2:$A$37,MATCH($C608,'Mass attenuation coefficients'!$A$2:$A$37,1)))),0.997*$C608*'Mass attenuation coefficients'!$B$2/'Mass attenuation coefficients'!$A$2)</f>
        <v>0.1104052875</v>
      </c>
      <c r="I608" s="83">
        <f>_xlfn.IFNA(INDEX('Shultis Faw'!$C$2:$C$26,MATCH($C608,'Shultis Faw'!$A$2:$A$26,1))+($C608-INDEX('Shultis Faw'!$A$2:$A$26,MATCH($C608,'Shultis Faw'!$A$2:$A$26,1)))*(INDEX('Shultis Faw'!$C$2:$C$26,MATCH($C608,'Shultis Faw'!$A$2:$A$26,1)+1)-INDEX('Shultis Faw'!$C$2:$C$26,MATCH($C608,'Shultis Faw'!$A$2:$A$26,1)))/(INDEX('Shultis Faw'!$A$2:$A$26,MATCH($C608,'Shultis Faw'!$A$2:$A$26,1)+1)-INDEX('Shultis Faw'!$A$2:$A$26,MATCH($C608,'Shultis Faw'!$A$2:$A$26,1))),$C608*'Shultis Faw'!$C$2/'Shultis Faw'!$A$2)</f>
        <v>2.7564600000000001</v>
      </c>
      <c r="J608" s="83">
        <f>_xlfn.IFNA(INDEX('Shultis Faw'!$D$2:$D$26,MATCH($C608,'Shultis Faw'!$A$2:$A$26,1))+($C608-INDEX('Shultis Faw'!$A$2:$A$26,MATCH($C608,'Shultis Faw'!$A$2:$A$26,1)))*(INDEX('Shultis Faw'!$D$2:$D$26,MATCH($C608,'Shultis Faw'!$A$2:$A$26,1)+1)-INDEX('Shultis Faw'!$D$2:$D$26,MATCH($C608,'Shultis Faw'!$A$2:$A$26,1)))/(INDEX('Shultis Faw'!$A$2:$A$26,MATCH($C608,'Shultis Faw'!$A$2:$A$26,1)+1)-INDEX('Shultis Faw'!$A$2:$A$26,MATCH($C608,'Shultis Faw'!$A$2:$A$26,1))),$C608*'Shultis Faw'!$D$2/'Shultis Faw'!$A$2)</f>
        <v>1.9339399999999998</v>
      </c>
      <c r="K608" s="83">
        <f>_xlfn.IFNA(INDEX('Shultis Faw'!$B$2:$B$26,MATCH($C608,'Shultis Faw'!$A$2:$A$26,1))+($C608-INDEX('Shultis Faw'!$A$2:$A$26,MATCH($C608,'Shultis Faw'!$A$2:$A$26,1)))*(INDEX('Shultis Faw'!$B$2:$B$26,MATCH($C608,'Shultis Faw'!$A$2:$A$26,1)+1)-INDEX('Shultis Faw'!$B$2:$B$26,MATCH($C608,'Shultis Faw'!$A$2:$A$26,1)))/(INDEX('Shultis Faw'!$A$2:$A$26,MATCH($C608,'Shultis Faw'!$A$2:$A$26,1)+1)-INDEX('Shultis Faw'!$A$2:$A$26,MATCH($C608,'Shultis Faw'!$A$2:$A$26,1))),$C608*'Shultis Faw'!$B$2/'Shultis Faw'!$A$2)</f>
        <v>-0.15456500000000001</v>
      </c>
      <c r="L608" s="83">
        <f>_xlfn.IFNA(INDEX('Shultis Faw'!$E$2:$E$26,MATCH($C608,'Shultis Faw'!$A$2:$A$26,1))+($C608-INDEX('Shultis Faw'!$A$2:$A$26,MATCH($C608,'Shultis Faw'!$A$2:$A$26,1)))*(INDEX('Shultis Faw'!$E$2:$E$26,MATCH($C608,'Shultis Faw'!$A$2:$A$26,1)+1)-INDEX('Shultis Faw'!$E$2:$E$26,MATCH($C608,'Shultis Faw'!$A$2:$A$26,1)))/(INDEX('Shultis Faw'!$A$2:$A$26,MATCH($C608,'Shultis Faw'!$A$2:$A$26,1)+1)-INDEX('Shultis Faw'!$A$2:$A$26,MATCH($C608,'Shultis Faw'!$A$2:$A$26,1))),$C608*'Shultis Faw'!$E$2/'Shultis Faw'!$A$2)</f>
        <v>6.1726000000000003E-2</v>
      </c>
      <c r="M608" s="83">
        <f>_xlfn.IFNA(INDEX('Shultis Faw'!$F$2:$F$26,MATCH($C608,'Shultis Faw'!$A$2:$A$26,1))+($C608-INDEX('Shultis Faw'!$A$2:$A$26,MATCH($C608,'Shultis Faw'!$A$2:$A$26,1)))*(INDEX('Shultis Faw'!$F$2:$F$26,MATCH($C608,'Shultis Faw'!$A$2:$A$26,1)+1)-INDEX('Shultis Faw'!$F$2:$F$26,MATCH($C608,'Shultis Faw'!$A$2:$A$26,1)))/(INDEX('Shultis Faw'!$A$2:$A$26,MATCH($C608,'Shultis Faw'!$A$2:$A$26,1)+1)-INDEX('Shultis Faw'!$A$2:$A$26,MATCH($C608,'Shultis Faw'!$A$2:$A$26,1))),$C608*'Shultis Faw'!$F$2/'Shultis Faw'!$A$2)</f>
        <v>14.228870000000001</v>
      </c>
      <c r="N608" s="83">
        <f>J608*(H608*'Externe blootstelling'!$D$23/2)^K608+L608*(TANH(((H608*'Externe blootstelling'!$D$23)/(2*M608))-2)-TANH(-2))/(1-TANH(-2))</f>
        <v>1.7891676141135588</v>
      </c>
      <c r="O608" s="83">
        <f>IF(N608=1,1+(I608-1)*H608*'Externe blootstelling'!$D$23/2,1+(I608-1)*(N608^(H608*'Externe blootstelling'!$D$23/2)-1)/(N608-1))</f>
        <v>4.6071155277995368</v>
      </c>
      <c r="P608" s="67">
        <f>G608*EXP(-H608*'Externe blootstelling'!$D$23/2)*O608</f>
        <v>2.5583915995126756E-4</v>
      </c>
      <c r="Q608" s="68"/>
    </row>
    <row r="609" spans="1:17" x14ac:dyDescent="0.2">
      <c r="A609" s="217"/>
      <c r="B609" s="64" t="s">
        <v>104</v>
      </c>
      <c r="C609" s="66">
        <v>0.36856</v>
      </c>
      <c r="D609" s="66">
        <f t="shared" si="40"/>
        <v>5.8969599999999996E-14</v>
      </c>
      <c r="E609" s="66">
        <v>8.9999999999999992E-5</v>
      </c>
      <c r="F609" s="66">
        <f>_xlfn.IFNA(INDEX('hp (pSv cm2)'!$B$2:$B$52,MATCH($C609,'hp (pSv cm2)'!$A$2:$A$52,1))+($C609-INDEX('hp (pSv cm2)'!$A$2:$A$52,MATCH($C609,'hp (pSv cm2)'!$A$2:$A$52,1)))*(INDEX('hp (pSv cm2)'!$B$2:$B$52,MATCH($C609,'hp (pSv cm2)'!$A$2:$A$52,1)+1)-INDEX('hp (pSv cm2)'!$B$2:$B$52,MATCH($C609,'hp (pSv cm2)'!$A$2:$A$52,1)))/(INDEX('hp (pSv cm2)'!$A$2:$A$52,MATCH($C609,'hp (pSv cm2)'!$A$2:$A$52,1)+1)-INDEX('hp (pSv cm2)'!$A$2:$A$52,MATCH($C609,'hp (pSv cm2)'!$A$2:$A$52,1))),$C609*'hp (pSv cm2)'!$B$2/'hp (pSv cm2)'!$A$2)</f>
        <v>1.8459439999999998</v>
      </c>
      <c r="G609" s="67">
        <f t="shared" si="42"/>
        <v>1.6613495999999998E-4</v>
      </c>
      <c r="H609" s="83">
        <f>_xlfn.IFNA(0.997*(INDEX('Mass attenuation coefficients'!$B$2:$B$37,MATCH($C609,'Mass attenuation coefficients'!$A$2:$A$37,1))+($C609-INDEX('Mass attenuation coefficients'!$A$2:$A$37,MATCH($C609,'Mass attenuation coefficients'!$A$2:$A$37,1)))*(INDEX('Mass attenuation coefficients'!$B$2:$B$37,MATCH($C609,'Mass attenuation coefficients'!$A$2:$A$37,1)+1)-INDEX('Mass attenuation coefficients'!$B$2:$B$37,MATCH($C609,'Mass attenuation coefficients'!$A$2:$A$37,1)))/(INDEX('Mass attenuation coefficients'!$A$2:$A$37,MATCH($C609,'Mass attenuation coefficients'!$A$2:$A$37,1)+1)-INDEX('Mass attenuation coefficients'!$A$2:$A$37,MATCH($C609,'Mass attenuation coefficients'!$A$2:$A$37,1)))),0.997*$C609*'Mass attenuation coefficients'!$B$2/'Mass attenuation coefficients'!$A$2)</f>
        <v>0.10969991</v>
      </c>
      <c r="I609" s="83">
        <f>_xlfn.IFNA(INDEX('Shultis Faw'!$C$2:$C$26,MATCH($C609,'Shultis Faw'!$A$2:$A$26,1))+($C609-INDEX('Shultis Faw'!$A$2:$A$26,MATCH($C609,'Shultis Faw'!$A$2:$A$26,1)))*(INDEX('Shultis Faw'!$C$2:$C$26,MATCH($C609,'Shultis Faw'!$A$2:$A$26,1)+1)-INDEX('Shultis Faw'!$C$2:$C$26,MATCH($C609,'Shultis Faw'!$A$2:$A$26,1)))/(INDEX('Shultis Faw'!$A$2:$A$26,MATCH($C609,'Shultis Faw'!$A$2:$A$26,1)+1)-INDEX('Shultis Faw'!$A$2:$A$26,MATCH($C609,'Shultis Faw'!$A$2:$A$26,1))),$C609*'Shultis Faw'!$C$2/'Shultis Faw'!$A$2)</f>
        <v>2.7417440000000002</v>
      </c>
      <c r="J609" s="83">
        <f>_xlfn.IFNA(INDEX('Shultis Faw'!$D$2:$D$26,MATCH($C609,'Shultis Faw'!$A$2:$A$26,1))+($C609-INDEX('Shultis Faw'!$A$2:$A$26,MATCH($C609,'Shultis Faw'!$A$2:$A$26,1)))*(INDEX('Shultis Faw'!$D$2:$D$26,MATCH($C609,'Shultis Faw'!$A$2:$A$26,1)+1)-INDEX('Shultis Faw'!$D$2:$D$26,MATCH($C609,'Shultis Faw'!$A$2:$A$26,1)))/(INDEX('Shultis Faw'!$A$2:$A$26,MATCH($C609,'Shultis Faw'!$A$2:$A$26,1)+1)-INDEX('Shultis Faw'!$A$2:$A$26,MATCH($C609,'Shultis Faw'!$A$2:$A$26,1))),$C609*'Shultis Faw'!$D$2/'Shultis Faw'!$A$2)</f>
        <v>1.926016</v>
      </c>
      <c r="K609" s="83">
        <f>_xlfn.IFNA(INDEX('Shultis Faw'!$B$2:$B$26,MATCH($C609,'Shultis Faw'!$A$2:$A$26,1))+($C609-INDEX('Shultis Faw'!$A$2:$A$26,MATCH($C609,'Shultis Faw'!$A$2:$A$26,1)))*(INDEX('Shultis Faw'!$B$2:$B$26,MATCH($C609,'Shultis Faw'!$A$2:$A$26,1)+1)-INDEX('Shultis Faw'!$B$2:$B$26,MATCH($C609,'Shultis Faw'!$A$2:$A$26,1)))/(INDEX('Shultis Faw'!$A$2:$A$26,MATCH($C609,'Shultis Faw'!$A$2:$A$26,1)+1)-INDEX('Shultis Faw'!$A$2:$A$26,MATCH($C609,'Shultis Faw'!$A$2:$A$26,1))),$C609*'Shultis Faw'!$B$2/'Shultis Faw'!$A$2)</f>
        <v>-0.15371599999999999</v>
      </c>
      <c r="L609" s="83">
        <f>_xlfn.IFNA(INDEX('Shultis Faw'!$E$2:$E$26,MATCH($C609,'Shultis Faw'!$A$2:$A$26,1))+($C609-INDEX('Shultis Faw'!$A$2:$A$26,MATCH($C609,'Shultis Faw'!$A$2:$A$26,1)))*(INDEX('Shultis Faw'!$E$2:$E$26,MATCH($C609,'Shultis Faw'!$A$2:$A$26,1)+1)-INDEX('Shultis Faw'!$E$2:$E$26,MATCH($C609,'Shultis Faw'!$A$2:$A$26,1)))/(INDEX('Shultis Faw'!$A$2:$A$26,MATCH($C609,'Shultis Faw'!$A$2:$A$26,1)+1)-INDEX('Shultis Faw'!$A$2:$A$26,MATCH($C609,'Shultis Faw'!$A$2:$A$26,1))),$C609*'Shultis Faw'!$E$2/'Shultis Faw'!$A$2)</f>
        <v>6.1386400000000001E-2</v>
      </c>
      <c r="M609" s="83">
        <f>_xlfn.IFNA(INDEX('Shultis Faw'!$F$2:$F$26,MATCH($C609,'Shultis Faw'!$A$2:$A$26,1))+($C609-INDEX('Shultis Faw'!$A$2:$A$26,MATCH($C609,'Shultis Faw'!$A$2:$A$26,1)))*(INDEX('Shultis Faw'!$F$2:$F$26,MATCH($C609,'Shultis Faw'!$A$2:$A$26,1)+1)-INDEX('Shultis Faw'!$F$2:$F$26,MATCH($C609,'Shultis Faw'!$A$2:$A$26,1)))/(INDEX('Shultis Faw'!$A$2:$A$26,MATCH($C609,'Shultis Faw'!$A$2:$A$26,1)+1)-INDEX('Shultis Faw'!$A$2:$A$26,MATCH($C609,'Shultis Faw'!$A$2:$A$26,1))),$C609*'Shultis Faw'!$F$2/'Shultis Faw'!$A$2)</f>
        <v>14.230568</v>
      </c>
      <c r="N609" s="83">
        <f>J609*(H609*'Externe blootstelling'!$D$23/2)^K609+L609*(TANH(((H609*'Externe blootstelling'!$D$23)/(2*M609))-2)-TANH(-2))/(1-TANH(-2))</f>
        <v>1.7843543338824648</v>
      </c>
      <c r="O609" s="83">
        <f>IF(N609=1,1+(I609-1)*H609*'Externe blootstelling'!$D$23/2,1+(I609-1)*(N609^(H609*'Externe blootstelling'!$D$23/2)-1)/(N609-1))</f>
        <v>4.5375527641482947</v>
      </c>
      <c r="P609" s="67">
        <f>G609*EXP(-H609*'Externe blootstelling'!$D$23/2)*O609</f>
        <v>1.4542924040446183E-4</v>
      </c>
      <c r="Q609" s="68"/>
    </row>
    <row r="610" spans="1:17" x14ac:dyDescent="0.2">
      <c r="A610" s="217"/>
      <c r="B610" s="64" t="s">
        <v>104</v>
      </c>
      <c r="C610" s="66">
        <v>0.37167600000000001</v>
      </c>
      <c r="D610" s="66">
        <f t="shared" si="40"/>
        <v>5.9468160000000001E-14</v>
      </c>
      <c r="E610" s="66">
        <v>4.9899999999999996E-3</v>
      </c>
      <c r="F610" s="66">
        <f>_xlfn.IFNA(INDEX('hp (pSv cm2)'!$B$2:$B$52,MATCH($C610,'hp (pSv cm2)'!$A$2:$A$52,1))+($C610-INDEX('hp (pSv cm2)'!$A$2:$A$52,MATCH($C610,'hp (pSv cm2)'!$A$2:$A$52,1)))*(INDEX('hp (pSv cm2)'!$B$2:$B$52,MATCH($C610,'hp (pSv cm2)'!$A$2:$A$52,1)+1)-INDEX('hp (pSv cm2)'!$B$2:$B$52,MATCH($C610,'hp (pSv cm2)'!$A$2:$A$52,1)))/(INDEX('hp (pSv cm2)'!$A$2:$A$52,MATCH($C610,'hp (pSv cm2)'!$A$2:$A$52,1)+1)-INDEX('hp (pSv cm2)'!$A$2:$A$52,MATCH($C610,'hp (pSv cm2)'!$A$2:$A$52,1))),$C610*'hp (pSv cm2)'!$B$2/'hp (pSv cm2)'!$A$2)</f>
        <v>1.8612123999999999</v>
      </c>
      <c r="G610" s="67">
        <f t="shared" si="42"/>
        <v>9.2874498759999979E-3</v>
      </c>
      <c r="H610" s="83">
        <f>_xlfn.IFNA(0.997*(INDEX('Mass attenuation coefficients'!$B$2:$B$37,MATCH($C610,'Mass attenuation coefficients'!$A$2:$A$37,1))+($C610-INDEX('Mass attenuation coefficients'!$A$2:$A$37,MATCH($C610,'Mass attenuation coefficients'!$A$2:$A$37,1)))*(INDEX('Mass attenuation coefficients'!$B$2:$B$37,MATCH($C610,'Mass attenuation coefficients'!$A$2:$A$37,1)+1)-INDEX('Mass attenuation coefficients'!$B$2:$B$37,MATCH($C610,'Mass attenuation coefficients'!$A$2:$A$37,1)))/(INDEX('Mass attenuation coefficients'!$A$2:$A$37,MATCH($C610,'Mass attenuation coefficients'!$A$2:$A$37,1)+1)-INDEX('Mass attenuation coefficients'!$A$2:$A$37,MATCH($C610,'Mass attenuation coefficients'!$A$2:$A$37,1)))),0.997*$C610*'Mass attenuation coefficients'!$B$2/'Mass attenuation coefficients'!$A$2)</f>
        <v>0.10931157850000001</v>
      </c>
      <c r="I610" s="83">
        <f>_xlfn.IFNA(INDEX('Shultis Faw'!$C$2:$C$26,MATCH($C610,'Shultis Faw'!$A$2:$A$26,1))+($C610-INDEX('Shultis Faw'!$A$2:$A$26,MATCH($C610,'Shultis Faw'!$A$2:$A$26,1)))*(INDEX('Shultis Faw'!$C$2:$C$26,MATCH($C610,'Shultis Faw'!$A$2:$A$26,1)+1)-INDEX('Shultis Faw'!$C$2:$C$26,MATCH($C610,'Shultis Faw'!$A$2:$A$26,1)))/(INDEX('Shultis Faw'!$A$2:$A$26,MATCH($C610,'Shultis Faw'!$A$2:$A$26,1)+1)-INDEX('Shultis Faw'!$A$2:$A$26,MATCH($C610,'Shultis Faw'!$A$2:$A$26,1))),$C610*'Shultis Faw'!$C$2/'Shultis Faw'!$A$2)</f>
        <v>2.7336423999999999</v>
      </c>
      <c r="J610" s="83">
        <f>_xlfn.IFNA(INDEX('Shultis Faw'!$D$2:$D$26,MATCH($C610,'Shultis Faw'!$A$2:$A$26,1))+($C610-INDEX('Shultis Faw'!$A$2:$A$26,MATCH($C610,'Shultis Faw'!$A$2:$A$26,1)))*(INDEX('Shultis Faw'!$D$2:$D$26,MATCH($C610,'Shultis Faw'!$A$2:$A$26,1)+1)-INDEX('Shultis Faw'!$D$2:$D$26,MATCH($C610,'Shultis Faw'!$A$2:$A$26,1)))/(INDEX('Shultis Faw'!$A$2:$A$26,MATCH($C610,'Shultis Faw'!$A$2:$A$26,1)+1)-INDEX('Shultis Faw'!$A$2:$A$26,MATCH($C610,'Shultis Faw'!$A$2:$A$26,1))),$C610*'Shultis Faw'!$D$2/'Shultis Faw'!$A$2)</f>
        <v>1.9216536</v>
      </c>
      <c r="K610" s="83">
        <f>_xlfn.IFNA(INDEX('Shultis Faw'!$B$2:$B$26,MATCH($C610,'Shultis Faw'!$A$2:$A$26,1))+($C610-INDEX('Shultis Faw'!$A$2:$A$26,MATCH($C610,'Shultis Faw'!$A$2:$A$26,1)))*(INDEX('Shultis Faw'!$B$2:$B$26,MATCH($C610,'Shultis Faw'!$A$2:$A$26,1)+1)-INDEX('Shultis Faw'!$B$2:$B$26,MATCH($C610,'Shultis Faw'!$A$2:$A$26,1)))/(INDEX('Shultis Faw'!$A$2:$A$26,MATCH($C610,'Shultis Faw'!$A$2:$A$26,1)+1)-INDEX('Shultis Faw'!$A$2:$A$26,MATCH($C610,'Shultis Faw'!$A$2:$A$26,1))),$C610*'Shultis Faw'!$B$2/'Shultis Faw'!$A$2)</f>
        <v>-0.15324860000000001</v>
      </c>
      <c r="L610" s="83">
        <f>_xlfn.IFNA(INDEX('Shultis Faw'!$E$2:$E$26,MATCH($C610,'Shultis Faw'!$A$2:$A$26,1))+($C610-INDEX('Shultis Faw'!$A$2:$A$26,MATCH($C610,'Shultis Faw'!$A$2:$A$26,1)))*(INDEX('Shultis Faw'!$E$2:$E$26,MATCH($C610,'Shultis Faw'!$A$2:$A$26,1)+1)-INDEX('Shultis Faw'!$E$2:$E$26,MATCH($C610,'Shultis Faw'!$A$2:$A$26,1)))/(INDEX('Shultis Faw'!$A$2:$A$26,MATCH($C610,'Shultis Faw'!$A$2:$A$26,1)+1)-INDEX('Shultis Faw'!$A$2:$A$26,MATCH($C610,'Shultis Faw'!$A$2:$A$26,1))),$C610*'Shultis Faw'!$E$2/'Shultis Faw'!$A$2)</f>
        <v>6.1199440000000001E-2</v>
      </c>
      <c r="M610" s="83">
        <f>_xlfn.IFNA(INDEX('Shultis Faw'!$F$2:$F$26,MATCH($C610,'Shultis Faw'!$A$2:$A$26,1))+($C610-INDEX('Shultis Faw'!$A$2:$A$26,MATCH($C610,'Shultis Faw'!$A$2:$A$26,1)))*(INDEX('Shultis Faw'!$F$2:$F$26,MATCH($C610,'Shultis Faw'!$A$2:$A$26,1)+1)-INDEX('Shultis Faw'!$F$2:$F$26,MATCH($C610,'Shultis Faw'!$A$2:$A$26,1)))/(INDEX('Shultis Faw'!$A$2:$A$26,MATCH($C610,'Shultis Faw'!$A$2:$A$26,1)+1)-INDEX('Shultis Faw'!$A$2:$A$26,MATCH($C610,'Shultis Faw'!$A$2:$A$26,1))),$C610*'Shultis Faw'!$F$2/'Shultis Faw'!$A$2)</f>
        <v>14.231502800000001</v>
      </c>
      <c r="N610" s="83">
        <f>J610*(H610*'Externe blootstelling'!$D$23/2)^K610+L610*(TANH(((H610*'Externe blootstelling'!$D$23)/(2*M610))-2)-TANH(-2))/(1-TANH(-2))</f>
        <v>1.7816936909032717</v>
      </c>
      <c r="O610" s="83">
        <f>IF(N610=1,1+(I610-1)*H610*'Externe blootstelling'!$D$23/2,1+(I610-1)*(N610^(H610*'Externe blootstelling'!$D$23/2)-1)/(N610-1))</f>
        <v>4.4997114464566614</v>
      </c>
      <c r="P610" s="67">
        <f>G610*EXP(-H610*'Externe blootstelling'!$D$23/2)*O610</f>
        <v>8.1092355807883647E-3</v>
      </c>
      <c r="Q610" s="68"/>
    </row>
    <row r="611" spans="1:17" x14ac:dyDescent="0.2">
      <c r="A611" s="217"/>
      <c r="B611" s="64" t="s">
        <v>104</v>
      </c>
      <c r="C611" s="66">
        <v>0.37286000000000002</v>
      </c>
      <c r="D611" s="66">
        <f t="shared" si="40"/>
        <v>5.9657599999999998E-14</v>
      </c>
      <c r="E611" s="66">
        <v>5.0999999999999993E-4</v>
      </c>
      <c r="F611" s="66">
        <f>_xlfn.IFNA(INDEX('hp (pSv cm2)'!$B$2:$B$52,MATCH($C611,'hp (pSv cm2)'!$A$2:$A$52,1))+($C611-INDEX('hp (pSv cm2)'!$A$2:$A$52,MATCH($C611,'hp (pSv cm2)'!$A$2:$A$52,1)))*(INDEX('hp (pSv cm2)'!$B$2:$B$52,MATCH($C611,'hp (pSv cm2)'!$A$2:$A$52,1)+1)-INDEX('hp (pSv cm2)'!$B$2:$B$52,MATCH($C611,'hp (pSv cm2)'!$A$2:$A$52,1)))/(INDEX('hp (pSv cm2)'!$A$2:$A$52,MATCH($C611,'hp (pSv cm2)'!$A$2:$A$52,1)+1)-INDEX('hp (pSv cm2)'!$A$2:$A$52,MATCH($C611,'hp (pSv cm2)'!$A$2:$A$52,1))),$C611*'hp (pSv cm2)'!$B$2/'hp (pSv cm2)'!$A$2)</f>
        <v>1.8670140000000002</v>
      </c>
      <c r="G611" s="67">
        <f t="shared" si="42"/>
        <v>9.5217714E-4</v>
      </c>
      <c r="H611" s="83">
        <f>_xlfn.IFNA(0.997*(INDEX('Mass attenuation coefficients'!$B$2:$B$37,MATCH($C611,'Mass attenuation coefficients'!$A$2:$A$37,1))+($C611-INDEX('Mass attenuation coefficients'!$A$2:$A$37,MATCH($C611,'Mass attenuation coefficients'!$A$2:$A$37,1)))*(INDEX('Mass attenuation coefficients'!$B$2:$B$37,MATCH($C611,'Mass attenuation coefficients'!$A$2:$A$37,1)+1)-INDEX('Mass attenuation coefficients'!$B$2:$B$37,MATCH($C611,'Mass attenuation coefficients'!$A$2:$A$37,1)))/(INDEX('Mass attenuation coefficients'!$A$2:$A$37,MATCH($C611,'Mass attenuation coefficients'!$A$2:$A$37,1)+1)-INDEX('Mass attenuation coefficients'!$A$2:$A$37,MATCH($C611,'Mass attenuation coefficients'!$A$2:$A$37,1)))),0.997*$C611*'Mass attenuation coefficients'!$B$2/'Mass attenuation coefficients'!$A$2)</f>
        <v>0.1091640225</v>
      </c>
      <c r="I611" s="83">
        <f>_xlfn.IFNA(INDEX('Shultis Faw'!$C$2:$C$26,MATCH($C611,'Shultis Faw'!$A$2:$A$26,1))+($C611-INDEX('Shultis Faw'!$A$2:$A$26,MATCH($C611,'Shultis Faw'!$A$2:$A$26,1)))*(INDEX('Shultis Faw'!$C$2:$C$26,MATCH($C611,'Shultis Faw'!$A$2:$A$26,1)+1)-INDEX('Shultis Faw'!$C$2:$C$26,MATCH($C611,'Shultis Faw'!$A$2:$A$26,1)))/(INDEX('Shultis Faw'!$A$2:$A$26,MATCH($C611,'Shultis Faw'!$A$2:$A$26,1)+1)-INDEX('Shultis Faw'!$A$2:$A$26,MATCH($C611,'Shultis Faw'!$A$2:$A$26,1))),$C611*'Shultis Faw'!$C$2/'Shultis Faw'!$A$2)</f>
        <v>2.7305640000000002</v>
      </c>
      <c r="J611" s="83">
        <f>_xlfn.IFNA(INDEX('Shultis Faw'!$D$2:$D$26,MATCH($C611,'Shultis Faw'!$A$2:$A$26,1))+($C611-INDEX('Shultis Faw'!$A$2:$A$26,MATCH($C611,'Shultis Faw'!$A$2:$A$26,1)))*(INDEX('Shultis Faw'!$D$2:$D$26,MATCH($C611,'Shultis Faw'!$A$2:$A$26,1)+1)-INDEX('Shultis Faw'!$D$2:$D$26,MATCH($C611,'Shultis Faw'!$A$2:$A$26,1)))/(INDEX('Shultis Faw'!$A$2:$A$26,MATCH($C611,'Shultis Faw'!$A$2:$A$26,1)+1)-INDEX('Shultis Faw'!$A$2:$A$26,MATCH($C611,'Shultis Faw'!$A$2:$A$26,1))),$C611*'Shultis Faw'!$D$2/'Shultis Faw'!$A$2)</f>
        <v>1.9199959999999998</v>
      </c>
      <c r="K611" s="83">
        <f>_xlfn.IFNA(INDEX('Shultis Faw'!$B$2:$B$26,MATCH($C611,'Shultis Faw'!$A$2:$A$26,1))+($C611-INDEX('Shultis Faw'!$A$2:$A$26,MATCH($C611,'Shultis Faw'!$A$2:$A$26,1)))*(INDEX('Shultis Faw'!$B$2:$B$26,MATCH($C611,'Shultis Faw'!$A$2:$A$26,1)+1)-INDEX('Shultis Faw'!$B$2:$B$26,MATCH($C611,'Shultis Faw'!$A$2:$A$26,1)))/(INDEX('Shultis Faw'!$A$2:$A$26,MATCH($C611,'Shultis Faw'!$A$2:$A$26,1)+1)-INDEX('Shultis Faw'!$A$2:$A$26,MATCH($C611,'Shultis Faw'!$A$2:$A$26,1))),$C611*'Shultis Faw'!$B$2/'Shultis Faw'!$A$2)</f>
        <v>-0.15307099999999998</v>
      </c>
      <c r="L611" s="83">
        <f>_xlfn.IFNA(INDEX('Shultis Faw'!$E$2:$E$26,MATCH($C611,'Shultis Faw'!$A$2:$A$26,1))+($C611-INDEX('Shultis Faw'!$A$2:$A$26,MATCH($C611,'Shultis Faw'!$A$2:$A$26,1)))*(INDEX('Shultis Faw'!$E$2:$E$26,MATCH($C611,'Shultis Faw'!$A$2:$A$26,1)+1)-INDEX('Shultis Faw'!$E$2:$E$26,MATCH($C611,'Shultis Faw'!$A$2:$A$26,1)))/(INDEX('Shultis Faw'!$A$2:$A$26,MATCH($C611,'Shultis Faw'!$A$2:$A$26,1)+1)-INDEX('Shultis Faw'!$A$2:$A$26,MATCH($C611,'Shultis Faw'!$A$2:$A$26,1))),$C611*'Shultis Faw'!$E$2/'Shultis Faw'!$A$2)</f>
        <v>6.1128399999999999E-2</v>
      </c>
      <c r="M611" s="83">
        <f>_xlfn.IFNA(INDEX('Shultis Faw'!$F$2:$F$26,MATCH($C611,'Shultis Faw'!$A$2:$A$26,1))+($C611-INDEX('Shultis Faw'!$A$2:$A$26,MATCH($C611,'Shultis Faw'!$A$2:$A$26,1)))*(INDEX('Shultis Faw'!$F$2:$F$26,MATCH($C611,'Shultis Faw'!$A$2:$A$26,1)+1)-INDEX('Shultis Faw'!$F$2:$F$26,MATCH($C611,'Shultis Faw'!$A$2:$A$26,1)))/(INDEX('Shultis Faw'!$A$2:$A$26,MATCH($C611,'Shultis Faw'!$A$2:$A$26,1)+1)-INDEX('Shultis Faw'!$A$2:$A$26,MATCH($C611,'Shultis Faw'!$A$2:$A$26,1))),$C611*'Shultis Faw'!$F$2/'Shultis Faw'!$A$2)</f>
        <v>14.231858000000001</v>
      </c>
      <c r="N611" s="83">
        <f>J611*(H611*'Externe blootstelling'!$D$23/2)^K611+L611*(TANH(((H611*'Externe blootstelling'!$D$23)/(2*M611))-2)-TANH(-2))/(1-TANH(-2))</f>
        <v>1.7806807057738241</v>
      </c>
      <c r="O611" s="83">
        <f>IF(N611=1,1+(I611-1)*H611*'Externe blootstelling'!$D$23/2,1+(I611-1)*(N611^(H611*'Externe blootstelling'!$D$23/2)-1)/(N611-1))</f>
        <v>4.4854167467202704</v>
      </c>
      <c r="P611" s="67">
        <f>G611*EXP(-H611*'Externe blootstelling'!$D$23/2)*O611</f>
        <v>8.3057826474830585E-4</v>
      </c>
      <c r="Q611" s="68"/>
    </row>
    <row r="612" spans="1:17" x14ac:dyDescent="0.2">
      <c r="A612" s="217"/>
      <c r="B612" s="64" t="s">
        <v>104</v>
      </c>
      <c r="C612" s="66">
        <v>0.37625999999999998</v>
      </c>
      <c r="D612" s="66">
        <f t="shared" si="40"/>
        <v>6.0201600000000001E-14</v>
      </c>
      <c r="E612" s="66">
        <v>1.2999999999999999E-4</v>
      </c>
      <c r="F612" s="66">
        <f>_xlfn.IFNA(INDEX('hp (pSv cm2)'!$B$2:$B$52,MATCH($C612,'hp (pSv cm2)'!$A$2:$A$52,1))+($C612-INDEX('hp (pSv cm2)'!$A$2:$A$52,MATCH($C612,'hp (pSv cm2)'!$A$2:$A$52,1)))*(INDEX('hp (pSv cm2)'!$B$2:$B$52,MATCH($C612,'hp (pSv cm2)'!$A$2:$A$52,1)+1)-INDEX('hp (pSv cm2)'!$B$2:$B$52,MATCH($C612,'hp (pSv cm2)'!$A$2:$A$52,1)))/(INDEX('hp (pSv cm2)'!$A$2:$A$52,MATCH($C612,'hp (pSv cm2)'!$A$2:$A$52,1)+1)-INDEX('hp (pSv cm2)'!$A$2:$A$52,MATCH($C612,'hp (pSv cm2)'!$A$2:$A$52,1))),$C612*'hp (pSv cm2)'!$B$2/'hp (pSv cm2)'!$A$2)</f>
        <v>1.8836739999999998</v>
      </c>
      <c r="G612" s="67">
        <f t="shared" si="42"/>
        <v>2.4487761999999997E-4</v>
      </c>
      <c r="H612" s="83">
        <f>_xlfn.IFNA(0.997*(INDEX('Mass attenuation coefficients'!$B$2:$B$37,MATCH($C612,'Mass attenuation coefficients'!$A$2:$A$37,1))+($C612-INDEX('Mass attenuation coefficients'!$A$2:$A$37,MATCH($C612,'Mass attenuation coefficients'!$A$2:$A$37,1)))*(INDEX('Mass attenuation coefficients'!$B$2:$B$37,MATCH($C612,'Mass attenuation coefficients'!$A$2:$A$37,1)+1)-INDEX('Mass attenuation coefficients'!$B$2:$B$37,MATCH($C612,'Mass attenuation coefficients'!$A$2:$A$37,1)))/(INDEX('Mass attenuation coefficients'!$A$2:$A$37,MATCH($C612,'Mass attenuation coefficients'!$A$2:$A$37,1)+1)-INDEX('Mass attenuation coefficients'!$A$2:$A$37,MATCH($C612,'Mass attenuation coefficients'!$A$2:$A$37,1)))),0.997*$C612*'Mass attenuation coefficients'!$B$2/'Mass attenuation coefficients'!$A$2)</f>
        <v>0.1087402975</v>
      </c>
      <c r="I612" s="83">
        <f>_xlfn.IFNA(INDEX('Shultis Faw'!$C$2:$C$26,MATCH($C612,'Shultis Faw'!$A$2:$A$26,1))+($C612-INDEX('Shultis Faw'!$A$2:$A$26,MATCH($C612,'Shultis Faw'!$A$2:$A$26,1)))*(INDEX('Shultis Faw'!$C$2:$C$26,MATCH($C612,'Shultis Faw'!$A$2:$A$26,1)+1)-INDEX('Shultis Faw'!$C$2:$C$26,MATCH($C612,'Shultis Faw'!$A$2:$A$26,1)))/(INDEX('Shultis Faw'!$A$2:$A$26,MATCH($C612,'Shultis Faw'!$A$2:$A$26,1)+1)-INDEX('Shultis Faw'!$A$2:$A$26,MATCH($C612,'Shultis Faw'!$A$2:$A$26,1))),$C612*'Shultis Faw'!$C$2/'Shultis Faw'!$A$2)</f>
        <v>2.721724</v>
      </c>
      <c r="J612" s="83">
        <f>_xlfn.IFNA(INDEX('Shultis Faw'!$D$2:$D$26,MATCH($C612,'Shultis Faw'!$A$2:$A$26,1))+($C612-INDEX('Shultis Faw'!$A$2:$A$26,MATCH($C612,'Shultis Faw'!$A$2:$A$26,1)))*(INDEX('Shultis Faw'!$D$2:$D$26,MATCH($C612,'Shultis Faw'!$A$2:$A$26,1)+1)-INDEX('Shultis Faw'!$D$2:$D$26,MATCH($C612,'Shultis Faw'!$A$2:$A$26,1)))/(INDEX('Shultis Faw'!$A$2:$A$26,MATCH($C612,'Shultis Faw'!$A$2:$A$26,1)+1)-INDEX('Shultis Faw'!$A$2:$A$26,MATCH($C612,'Shultis Faw'!$A$2:$A$26,1))),$C612*'Shultis Faw'!$D$2/'Shultis Faw'!$A$2)</f>
        <v>1.9152359999999999</v>
      </c>
      <c r="K612" s="83">
        <f>_xlfn.IFNA(INDEX('Shultis Faw'!$B$2:$B$26,MATCH($C612,'Shultis Faw'!$A$2:$A$26,1))+($C612-INDEX('Shultis Faw'!$A$2:$A$26,MATCH($C612,'Shultis Faw'!$A$2:$A$26,1)))*(INDEX('Shultis Faw'!$B$2:$B$26,MATCH($C612,'Shultis Faw'!$A$2:$A$26,1)+1)-INDEX('Shultis Faw'!$B$2:$B$26,MATCH($C612,'Shultis Faw'!$A$2:$A$26,1)))/(INDEX('Shultis Faw'!$A$2:$A$26,MATCH($C612,'Shultis Faw'!$A$2:$A$26,1)+1)-INDEX('Shultis Faw'!$A$2:$A$26,MATCH($C612,'Shultis Faw'!$A$2:$A$26,1))),$C612*'Shultis Faw'!$B$2/'Shultis Faw'!$A$2)</f>
        <v>-0.152561</v>
      </c>
      <c r="L612" s="83">
        <f>_xlfn.IFNA(INDEX('Shultis Faw'!$E$2:$E$26,MATCH($C612,'Shultis Faw'!$A$2:$A$26,1))+($C612-INDEX('Shultis Faw'!$A$2:$A$26,MATCH($C612,'Shultis Faw'!$A$2:$A$26,1)))*(INDEX('Shultis Faw'!$E$2:$E$26,MATCH($C612,'Shultis Faw'!$A$2:$A$26,1)+1)-INDEX('Shultis Faw'!$E$2:$E$26,MATCH($C612,'Shultis Faw'!$A$2:$A$26,1)))/(INDEX('Shultis Faw'!$A$2:$A$26,MATCH($C612,'Shultis Faw'!$A$2:$A$26,1)+1)-INDEX('Shultis Faw'!$A$2:$A$26,MATCH($C612,'Shultis Faw'!$A$2:$A$26,1))),$C612*'Shultis Faw'!$E$2/'Shultis Faw'!$A$2)</f>
        <v>6.0924400000000004E-2</v>
      </c>
      <c r="M612" s="83">
        <f>_xlfn.IFNA(INDEX('Shultis Faw'!$F$2:$F$26,MATCH($C612,'Shultis Faw'!$A$2:$A$26,1))+($C612-INDEX('Shultis Faw'!$A$2:$A$26,MATCH($C612,'Shultis Faw'!$A$2:$A$26,1)))*(INDEX('Shultis Faw'!$F$2:$F$26,MATCH($C612,'Shultis Faw'!$A$2:$A$26,1)+1)-INDEX('Shultis Faw'!$F$2:$F$26,MATCH($C612,'Shultis Faw'!$A$2:$A$26,1)))/(INDEX('Shultis Faw'!$A$2:$A$26,MATCH($C612,'Shultis Faw'!$A$2:$A$26,1)+1)-INDEX('Shultis Faw'!$A$2:$A$26,MATCH($C612,'Shultis Faw'!$A$2:$A$26,1))),$C612*'Shultis Faw'!$F$2/'Shultis Faw'!$A$2)</f>
        <v>14.232877999999999</v>
      </c>
      <c r="N612" s="83">
        <f>J612*(H612*'Externe blootstelling'!$D$23/2)^K612+L612*(TANH(((H612*'Externe blootstelling'!$D$23)/(2*M612))-2)-TANH(-2))/(1-TANH(-2))</f>
        <v>1.7777656437225251</v>
      </c>
      <c r="O612" s="83">
        <f>IF(N612=1,1+(I612-1)*H612*'Externe blootstelling'!$D$23/2,1+(I612-1)*(N612^(H612*'Externe blootstelling'!$D$23/2)-1)/(N612-1))</f>
        <v>4.4446233846819894</v>
      </c>
      <c r="P612" s="67">
        <f>G612*EXP(-H612*'Externe blootstelling'!$D$23/2)*O612</f>
        <v>2.1301215942119841E-4</v>
      </c>
      <c r="Q612" s="68"/>
    </row>
    <row r="613" spans="1:17" x14ac:dyDescent="0.2">
      <c r="A613" s="217"/>
      <c r="B613" s="64" t="s">
        <v>104</v>
      </c>
      <c r="C613" s="66">
        <v>0.38335000000000002</v>
      </c>
      <c r="D613" s="66">
        <f t="shared" si="40"/>
        <v>6.1335999999999995E-14</v>
      </c>
      <c r="E613" s="66">
        <v>7.0000000000000007E-5</v>
      </c>
      <c r="F613" s="66">
        <f>_xlfn.IFNA(INDEX('hp (pSv cm2)'!$B$2:$B$52,MATCH($C613,'hp (pSv cm2)'!$A$2:$A$52,1))+($C613-INDEX('hp (pSv cm2)'!$A$2:$A$52,MATCH($C613,'hp (pSv cm2)'!$A$2:$A$52,1)))*(INDEX('hp (pSv cm2)'!$B$2:$B$52,MATCH($C613,'hp (pSv cm2)'!$A$2:$A$52,1)+1)-INDEX('hp (pSv cm2)'!$B$2:$B$52,MATCH($C613,'hp (pSv cm2)'!$A$2:$A$52,1)))/(INDEX('hp (pSv cm2)'!$A$2:$A$52,MATCH($C613,'hp (pSv cm2)'!$A$2:$A$52,1)+1)-INDEX('hp (pSv cm2)'!$A$2:$A$52,MATCH($C613,'hp (pSv cm2)'!$A$2:$A$52,1))),$C613*'hp (pSv cm2)'!$B$2/'hp (pSv cm2)'!$A$2)</f>
        <v>1.918415</v>
      </c>
      <c r="G613" s="67">
        <f t="shared" si="42"/>
        <v>1.3428905000000002E-4</v>
      </c>
      <c r="H613" s="83">
        <f>_xlfn.IFNA(0.997*(INDEX('Mass attenuation coefficients'!$B$2:$B$37,MATCH($C613,'Mass attenuation coefficients'!$A$2:$A$37,1))+($C613-INDEX('Mass attenuation coefficients'!$A$2:$A$37,MATCH($C613,'Mass attenuation coefficients'!$A$2:$A$37,1)))*(INDEX('Mass attenuation coefficients'!$B$2:$B$37,MATCH($C613,'Mass attenuation coefficients'!$A$2:$A$37,1)+1)-INDEX('Mass attenuation coefficients'!$B$2:$B$37,MATCH($C613,'Mass attenuation coefficients'!$A$2:$A$37,1)))/(INDEX('Mass attenuation coefficients'!$A$2:$A$37,MATCH($C613,'Mass attenuation coefficients'!$A$2:$A$37,1)+1)-INDEX('Mass attenuation coefficients'!$A$2:$A$37,MATCH($C613,'Mass attenuation coefficients'!$A$2:$A$37,1)))),0.997*$C613*'Mass attenuation coefficients'!$B$2/'Mass attenuation coefficients'!$A$2)</f>
        <v>0.10785670624999999</v>
      </c>
      <c r="I613" s="83">
        <f>_xlfn.IFNA(INDEX('Shultis Faw'!$C$2:$C$26,MATCH($C613,'Shultis Faw'!$A$2:$A$26,1))+($C613-INDEX('Shultis Faw'!$A$2:$A$26,MATCH($C613,'Shultis Faw'!$A$2:$A$26,1)))*(INDEX('Shultis Faw'!$C$2:$C$26,MATCH($C613,'Shultis Faw'!$A$2:$A$26,1)+1)-INDEX('Shultis Faw'!$C$2:$C$26,MATCH($C613,'Shultis Faw'!$A$2:$A$26,1)))/(INDEX('Shultis Faw'!$A$2:$A$26,MATCH($C613,'Shultis Faw'!$A$2:$A$26,1)+1)-INDEX('Shultis Faw'!$A$2:$A$26,MATCH($C613,'Shultis Faw'!$A$2:$A$26,1))),$C613*'Shultis Faw'!$C$2/'Shultis Faw'!$A$2)</f>
        <v>2.70329</v>
      </c>
      <c r="J613" s="83">
        <f>_xlfn.IFNA(INDEX('Shultis Faw'!$D$2:$D$26,MATCH($C613,'Shultis Faw'!$A$2:$A$26,1))+($C613-INDEX('Shultis Faw'!$A$2:$A$26,MATCH($C613,'Shultis Faw'!$A$2:$A$26,1)))*(INDEX('Shultis Faw'!$D$2:$D$26,MATCH($C613,'Shultis Faw'!$A$2:$A$26,1)+1)-INDEX('Shultis Faw'!$D$2:$D$26,MATCH($C613,'Shultis Faw'!$A$2:$A$26,1)))/(INDEX('Shultis Faw'!$A$2:$A$26,MATCH($C613,'Shultis Faw'!$A$2:$A$26,1)+1)-INDEX('Shultis Faw'!$A$2:$A$26,MATCH($C613,'Shultis Faw'!$A$2:$A$26,1))),$C613*'Shultis Faw'!$D$2/'Shultis Faw'!$A$2)</f>
        <v>1.9053099999999998</v>
      </c>
      <c r="K613" s="83">
        <f>_xlfn.IFNA(INDEX('Shultis Faw'!$B$2:$B$26,MATCH($C613,'Shultis Faw'!$A$2:$A$26,1))+($C613-INDEX('Shultis Faw'!$A$2:$A$26,MATCH($C613,'Shultis Faw'!$A$2:$A$26,1)))*(INDEX('Shultis Faw'!$B$2:$B$26,MATCH($C613,'Shultis Faw'!$A$2:$A$26,1)+1)-INDEX('Shultis Faw'!$B$2:$B$26,MATCH($C613,'Shultis Faw'!$A$2:$A$26,1)))/(INDEX('Shultis Faw'!$A$2:$A$26,MATCH($C613,'Shultis Faw'!$A$2:$A$26,1)+1)-INDEX('Shultis Faw'!$A$2:$A$26,MATCH($C613,'Shultis Faw'!$A$2:$A$26,1))),$C613*'Shultis Faw'!$B$2/'Shultis Faw'!$A$2)</f>
        <v>-0.15149750000000001</v>
      </c>
      <c r="L613" s="83">
        <f>_xlfn.IFNA(INDEX('Shultis Faw'!$E$2:$E$26,MATCH($C613,'Shultis Faw'!$A$2:$A$26,1))+($C613-INDEX('Shultis Faw'!$A$2:$A$26,MATCH($C613,'Shultis Faw'!$A$2:$A$26,1)))*(INDEX('Shultis Faw'!$E$2:$E$26,MATCH($C613,'Shultis Faw'!$A$2:$A$26,1)+1)-INDEX('Shultis Faw'!$E$2:$E$26,MATCH($C613,'Shultis Faw'!$A$2:$A$26,1)))/(INDEX('Shultis Faw'!$A$2:$A$26,MATCH($C613,'Shultis Faw'!$A$2:$A$26,1)+1)-INDEX('Shultis Faw'!$A$2:$A$26,MATCH($C613,'Shultis Faw'!$A$2:$A$26,1))),$C613*'Shultis Faw'!$E$2/'Shultis Faw'!$A$2)</f>
        <v>6.0498999999999997E-2</v>
      </c>
      <c r="M613" s="83">
        <f>_xlfn.IFNA(INDEX('Shultis Faw'!$F$2:$F$26,MATCH($C613,'Shultis Faw'!$A$2:$A$26,1))+($C613-INDEX('Shultis Faw'!$A$2:$A$26,MATCH($C613,'Shultis Faw'!$A$2:$A$26,1)))*(INDEX('Shultis Faw'!$F$2:$F$26,MATCH($C613,'Shultis Faw'!$A$2:$A$26,1)+1)-INDEX('Shultis Faw'!$F$2:$F$26,MATCH($C613,'Shultis Faw'!$A$2:$A$26,1)))/(INDEX('Shultis Faw'!$A$2:$A$26,MATCH($C613,'Shultis Faw'!$A$2:$A$26,1)+1)-INDEX('Shultis Faw'!$A$2:$A$26,MATCH($C613,'Shultis Faw'!$A$2:$A$26,1))),$C613*'Shultis Faw'!$F$2/'Shultis Faw'!$A$2)</f>
        <v>14.235005000000001</v>
      </c>
      <c r="N613" s="83">
        <f>J613*(H613*'Externe blootstelling'!$D$23/2)^K613+L613*(TANH(((H613*'Externe blootstelling'!$D$23)/(2*M613))-2)-TANH(-2))/(1-TANH(-2))</f>
        <v>1.7716575131873535</v>
      </c>
      <c r="O613" s="83">
        <f>IF(N613=1,1+(I613-1)*H613*'Externe blootstelling'!$D$23/2,1+(I613-1)*(N613^(H613*'Externe blootstelling'!$D$23/2)-1)/(N613-1))</f>
        <v>4.3607652793545064</v>
      </c>
      <c r="P613" s="67">
        <f>G613*EXP(-H613*'Externe blootstelling'!$D$23/2)*O613</f>
        <v>1.1613943990205449E-4</v>
      </c>
      <c r="Q613" s="68"/>
    </row>
    <row r="614" spans="1:17" x14ac:dyDescent="0.2">
      <c r="A614" s="217"/>
      <c r="B614" s="64" t="s">
        <v>104</v>
      </c>
      <c r="C614" s="66">
        <v>0.38769999999999999</v>
      </c>
      <c r="D614" s="66">
        <f t="shared" si="40"/>
        <v>6.2031999999999995E-14</v>
      </c>
      <c r="E614" s="66">
        <v>1.6000000000000001E-4</v>
      </c>
      <c r="F614" s="66">
        <f>_xlfn.IFNA(INDEX('hp (pSv cm2)'!$B$2:$B$52,MATCH($C614,'hp (pSv cm2)'!$A$2:$A$52,1))+($C614-INDEX('hp (pSv cm2)'!$A$2:$A$52,MATCH($C614,'hp (pSv cm2)'!$A$2:$A$52,1)))*(INDEX('hp (pSv cm2)'!$B$2:$B$52,MATCH($C614,'hp (pSv cm2)'!$A$2:$A$52,1)+1)-INDEX('hp (pSv cm2)'!$B$2:$B$52,MATCH($C614,'hp (pSv cm2)'!$A$2:$A$52,1)))/(INDEX('hp (pSv cm2)'!$A$2:$A$52,MATCH($C614,'hp (pSv cm2)'!$A$2:$A$52,1)+1)-INDEX('hp (pSv cm2)'!$A$2:$A$52,MATCH($C614,'hp (pSv cm2)'!$A$2:$A$52,1))),$C614*'hp (pSv cm2)'!$B$2/'hp (pSv cm2)'!$A$2)</f>
        <v>1.93973</v>
      </c>
      <c r="G614" s="67">
        <f t="shared" si="42"/>
        <v>3.1035680000000002E-4</v>
      </c>
      <c r="H614" s="83">
        <f>_xlfn.IFNA(0.997*(INDEX('Mass attenuation coefficients'!$B$2:$B$37,MATCH($C614,'Mass attenuation coefficients'!$A$2:$A$37,1))+($C614-INDEX('Mass attenuation coefficients'!$A$2:$A$37,MATCH($C614,'Mass attenuation coefficients'!$A$2:$A$37,1)))*(INDEX('Mass attenuation coefficients'!$B$2:$B$37,MATCH($C614,'Mass attenuation coefficients'!$A$2:$A$37,1)+1)-INDEX('Mass attenuation coefficients'!$B$2:$B$37,MATCH($C614,'Mass attenuation coefficients'!$A$2:$A$37,1)))/(INDEX('Mass attenuation coefficients'!$A$2:$A$37,MATCH($C614,'Mass attenuation coefficients'!$A$2:$A$37,1)+1)-INDEX('Mass attenuation coefficients'!$A$2:$A$37,MATCH($C614,'Mass attenuation coefficients'!$A$2:$A$37,1)))),0.997*$C614*'Mass attenuation coefficients'!$B$2/'Mass attenuation coefficients'!$A$2)</f>
        <v>0.1073145875</v>
      </c>
      <c r="I614" s="83">
        <f>_xlfn.IFNA(INDEX('Shultis Faw'!$C$2:$C$26,MATCH($C614,'Shultis Faw'!$A$2:$A$26,1))+($C614-INDEX('Shultis Faw'!$A$2:$A$26,MATCH($C614,'Shultis Faw'!$A$2:$A$26,1)))*(INDEX('Shultis Faw'!$C$2:$C$26,MATCH($C614,'Shultis Faw'!$A$2:$A$26,1)+1)-INDEX('Shultis Faw'!$C$2:$C$26,MATCH($C614,'Shultis Faw'!$A$2:$A$26,1)))/(INDEX('Shultis Faw'!$A$2:$A$26,MATCH($C614,'Shultis Faw'!$A$2:$A$26,1)+1)-INDEX('Shultis Faw'!$A$2:$A$26,MATCH($C614,'Shultis Faw'!$A$2:$A$26,1))),$C614*'Shultis Faw'!$C$2/'Shultis Faw'!$A$2)</f>
        <v>2.69198</v>
      </c>
      <c r="J614" s="83">
        <f>_xlfn.IFNA(INDEX('Shultis Faw'!$D$2:$D$26,MATCH($C614,'Shultis Faw'!$A$2:$A$26,1))+($C614-INDEX('Shultis Faw'!$A$2:$A$26,MATCH($C614,'Shultis Faw'!$A$2:$A$26,1)))*(INDEX('Shultis Faw'!$D$2:$D$26,MATCH($C614,'Shultis Faw'!$A$2:$A$26,1)+1)-INDEX('Shultis Faw'!$D$2:$D$26,MATCH($C614,'Shultis Faw'!$A$2:$A$26,1)))/(INDEX('Shultis Faw'!$A$2:$A$26,MATCH($C614,'Shultis Faw'!$A$2:$A$26,1)+1)-INDEX('Shultis Faw'!$A$2:$A$26,MATCH($C614,'Shultis Faw'!$A$2:$A$26,1))),$C614*'Shultis Faw'!$D$2/'Shultis Faw'!$A$2)</f>
        <v>1.8992199999999999</v>
      </c>
      <c r="K614" s="83">
        <f>_xlfn.IFNA(INDEX('Shultis Faw'!$B$2:$B$26,MATCH($C614,'Shultis Faw'!$A$2:$A$26,1))+($C614-INDEX('Shultis Faw'!$A$2:$A$26,MATCH($C614,'Shultis Faw'!$A$2:$A$26,1)))*(INDEX('Shultis Faw'!$B$2:$B$26,MATCH($C614,'Shultis Faw'!$A$2:$A$26,1)+1)-INDEX('Shultis Faw'!$B$2:$B$26,MATCH($C614,'Shultis Faw'!$A$2:$A$26,1)))/(INDEX('Shultis Faw'!$A$2:$A$26,MATCH($C614,'Shultis Faw'!$A$2:$A$26,1)+1)-INDEX('Shultis Faw'!$A$2:$A$26,MATCH($C614,'Shultis Faw'!$A$2:$A$26,1))),$C614*'Shultis Faw'!$B$2/'Shultis Faw'!$A$2)</f>
        <v>-0.15084500000000001</v>
      </c>
      <c r="L614" s="83">
        <f>_xlfn.IFNA(INDEX('Shultis Faw'!$E$2:$E$26,MATCH($C614,'Shultis Faw'!$A$2:$A$26,1))+($C614-INDEX('Shultis Faw'!$A$2:$A$26,MATCH($C614,'Shultis Faw'!$A$2:$A$26,1)))*(INDEX('Shultis Faw'!$E$2:$E$26,MATCH($C614,'Shultis Faw'!$A$2:$A$26,1)+1)-INDEX('Shultis Faw'!$E$2:$E$26,MATCH($C614,'Shultis Faw'!$A$2:$A$26,1)))/(INDEX('Shultis Faw'!$A$2:$A$26,MATCH($C614,'Shultis Faw'!$A$2:$A$26,1)+1)-INDEX('Shultis Faw'!$A$2:$A$26,MATCH($C614,'Shultis Faw'!$A$2:$A$26,1))),$C614*'Shultis Faw'!$E$2/'Shultis Faw'!$A$2)</f>
        <v>6.0238E-2</v>
      </c>
      <c r="M614" s="83">
        <f>_xlfn.IFNA(INDEX('Shultis Faw'!$F$2:$F$26,MATCH($C614,'Shultis Faw'!$A$2:$A$26,1))+($C614-INDEX('Shultis Faw'!$A$2:$A$26,MATCH($C614,'Shultis Faw'!$A$2:$A$26,1)))*(INDEX('Shultis Faw'!$F$2:$F$26,MATCH($C614,'Shultis Faw'!$A$2:$A$26,1)+1)-INDEX('Shultis Faw'!$F$2:$F$26,MATCH($C614,'Shultis Faw'!$A$2:$A$26,1)))/(INDEX('Shultis Faw'!$A$2:$A$26,MATCH($C614,'Shultis Faw'!$A$2:$A$26,1)+1)-INDEX('Shultis Faw'!$A$2:$A$26,MATCH($C614,'Shultis Faw'!$A$2:$A$26,1))),$C614*'Shultis Faw'!$F$2/'Shultis Faw'!$A$2)</f>
        <v>14.23631</v>
      </c>
      <c r="N614" s="83">
        <f>J614*(H614*'Externe blootstelling'!$D$23/2)^K614+L614*(TANH(((H614*'Externe blootstelling'!$D$23)/(2*M614))-2)-TANH(-2))/(1-TANH(-2))</f>
        <v>1.767890269419566</v>
      </c>
      <c r="O614" s="83">
        <f>IF(N614=1,1+(I614-1)*H614*'Externe blootstelling'!$D$23/2,1+(I614-1)*(N614^(H614*'Externe blootstelling'!$D$23/2)-1)/(N614-1))</f>
        <v>4.310113419466937</v>
      </c>
      <c r="P614" s="67">
        <f>G614*EXP(-H614*'Externe blootstelling'!$D$23/2)*O614</f>
        <v>2.6745946176721529E-4</v>
      </c>
      <c r="Q614" s="68"/>
    </row>
    <row r="615" spans="1:17" x14ac:dyDescent="0.2">
      <c r="A615" s="217"/>
      <c r="B615" s="64" t="s">
        <v>104</v>
      </c>
      <c r="C615" s="66">
        <v>0.3901</v>
      </c>
      <c r="D615" s="66">
        <f t="shared" si="40"/>
        <v>6.2416000000000001E-14</v>
      </c>
      <c r="E615" s="66">
        <v>4.6E-5</v>
      </c>
      <c r="F615" s="66">
        <f>_xlfn.IFNA(INDEX('hp (pSv cm2)'!$B$2:$B$52,MATCH($C615,'hp (pSv cm2)'!$A$2:$A$52,1))+($C615-INDEX('hp (pSv cm2)'!$A$2:$A$52,MATCH($C615,'hp (pSv cm2)'!$A$2:$A$52,1)))*(INDEX('hp (pSv cm2)'!$B$2:$B$52,MATCH($C615,'hp (pSv cm2)'!$A$2:$A$52,1)+1)-INDEX('hp (pSv cm2)'!$B$2:$B$52,MATCH($C615,'hp (pSv cm2)'!$A$2:$A$52,1)))/(INDEX('hp (pSv cm2)'!$A$2:$A$52,MATCH($C615,'hp (pSv cm2)'!$A$2:$A$52,1)+1)-INDEX('hp (pSv cm2)'!$A$2:$A$52,MATCH($C615,'hp (pSv cm2)'!$A$2:$A$52,1))),$C615*'hp (pSv cm2)'!$B$2/'hp (pSv cm2)'!$A$2)</f>
        <v>1.9514899999999999</v>
      </c>
      <c r="G615" s="67">
        <f t="shared" si="42"/>
        <v>8.9768539999999996E-5</v>
      </c>
      <c r="H615" s="83">
        <f>_xlfn.IFNA(0.997*(INDEX('Mass attenuation coefficients'!$B$2:$B$37,MATCH($C615,'Mass attenuation coefficients'!$A$2:$A$37,1))+($C615-INDEX('Mass attenuation coefficients'!$A$2:$A$37,MATCH($C615,'Mass attenuation coefficients'!$A$2:$A$37,1)))*(INDEX('Mass attenuation coefficients'!$B$2:$B$37,MATCH($C615,'Mass attenuation coefficients'!$A$2:$A$37,1)+1)-INDEX('Mass attenuation coefficients'!$B$2:$B$37,MATCH($C615,'Mass attenuation coefficients'!$A$2:$A$37,1)))/(INDEX('Mass attenuation coefficients'!$A$2:$A$37,MATCH($C615,'Mass attenuation coefficients'!$A$2:$A$37,1)+1)-INDEX('Mass attenuation coefficients'!$A$2:$A$37,MATCH($C615,'Mass attenuation coefficients'!$A$2:$A$37,1)))),0.997*$C615*'Mass attenuation coefficients'!$B$2/'Mass attenuation coefficients'!$A$2)</f>
        <v>0.10701548750000001</v>
      </c>
      <c r="I615" s="83">
        <f>_xlfn.IFNA(INDEX('Shultis Faw'!$C$2:$C$26,MATCH($C615,'Shultis Faw'!$A$2:$A$26,1))+($C615-INDEX('Shultis Faw'!$A$2:$A$26,MATCH($C615,'Shultis Faw'!$A$2:$A$26,1)))*(INDEX('Shultis Faw'!$C$2:$C$26,MATCH($C615,'Shultis Faw'!$A$2:$A$26,1)+1)-INDEX('Shultis Faw'!$C$2:$C$26,MATCH($C615,'Shultis Faw'!$A$2:$A$26,1)))/(INDEX('Shultis Faw'!$A$2:$A$26,MATCH($C615,'Shultis Faw'!$A$2:$A$26,1)+1)-INDEX('Shultis Faw'!$A$2:$A$26,MATCH($C615,'Shultis Faw'!$A$2:$A$26,1))),$C615*'Shultis Faw'!$C$2/'Shultis Faw'!$A$2)</f>
        <v>2.68574</v>
      </c>
      <c r="J615" s="83">
        <f>_xlfn.IFNA(INDEX('Shultis Faw'!$D$2:$D$26,MATCH($C615,'Shultis Faw'!$A$2:$A$26,1))+($C615-INDEX('Shultis Faw'!$A$2:$A$26,MATCH($C615,'Shultis Faw'!$A$2:$A$26,1)))*(INDEX('Shultis Faw'!$D$2:$D$26,MATCH($C615,'Shultis Faw'!$A$2:$A$26,1)+1)-INDEX('Shultis Faw'!$D$2:$D$26,MATCH($C615,'Shultis Faw'!$A$2:$A$26,1)))/(INDEX('Shultis Faw'!$A$2:$A$26,MATCH($C615,'Shultis Faw'!$A$2:$A$26,1)+1)-INDEX('Shultis Faw'!$A$2:$A$26,MATCH($C615,'Shultis Faw'!$A$2:$A$26,1))),$C615*'Shultis Faw'!$D$2/'Shultis Faw'!$A$2)</f>
        <v>1.8958599999999999</v>
      </c>
      <c r="K615" s="83">
        <f>_xlfn.IFNA(INDEX('Shultis Faw'!$B$2:$B$26,MATCH($C615,'Shultis Faw'!$A$2:$A$26,1))+($C615-INDEX('Shultis Faw'!$A$2:$A$26,MATCH($C615,'Shultis Faw'!$A$2:$A$26,1)))*(INDEX('Shultis Faw'!$B$2:$B$26,MATCH($C615,'Shultis Faw'!$A$2:$A$26,1)+1)-INDEX('Shultis Faw'!$B$2:$B$26,MATCH($C615,'Shultis Faw'!$A$2:$A$26,1)))/(INDEX('Shultis Faw'!$A$2:$A$26,MATCH($C615,'Shultis Faw'!$A$2:$A$26,1)+1)-INDEX('Shultis Faw'!$A$2:$A$26,MATCH($C615,'Shultis Faw'!$A$2:$A$26,1))),$C615*'Shultis Faw'!$B$2/'Shultis Faw'!$A$2)</f>
        <v>-0.15048500000000001</v>
      </c>
      <c r="L615" s="83">
        <f>_xlfn.IFNA(INDEX('Shultis Faw'!$E$2:$E$26,MATCH($C615,'Shultis Faw'!$A$2:$A$26,1))+($C615-INDEX('Shultis Faw'!$A$2:$A$26,MATCH($C615,'Shultis Faw'!$A$2:$A$26,1)))*(INDEX('Shultis Faw'!$E$2:$E$26,MATCH($C615,'Shultis Faw'!$A$2:$A$26,1)+1)-INDEX('Shultis Faw'!$E$2:$E$26,MATCH($C615,'Shultis Faw'!$A$2:$A$26,1)))/(INDEX('Shultis Faw'!$A$2:$A$26,MATCH($C615,'Shultis Faw'!$A$2:$A$26,1)+1)-INDEX('Shultis Faw'!$A$2:$A$26,MATCH($C615,'Shultis Faw'!$A$2:$A$26,1))),$C615*'Shultis Faw'!$E$2/'Shultis Faw'!$A$2)</f>
        <v>6.0094000000000002E-2</v>
      </c>
      <c r="M615" s="83">
        <f>_xlfn.IFNA(INDEX('Shultis Faw'!$F$2:$F$26,MATCH($C615,'Shultis Faw'!$A$2:$A$26,1))+($C615-INDEX('Shultis Faw'!$A$2:$A$26,MATCH($C615,'Shultis Faw'!$A$2:$A$26,1)))*(INDEX('Shultis Faw'!$F$2:$F$26,MATCH($C615,'Shultis Faw'!$A$2:$A$26,1)+1)-INDEX('Shultis Faw'!$F$2:$F$26,MATCH($C615,'Shultis Faw'!$A$2:$A$26,1)))/(INDEX('Shultis Faw'!$A$2:$A$26,MATCH($C615,'Shultis Faw'!$A$2:$A$26,1)+1)-INDEX('Shultis Faw'!$A$2:$A$26,MATCH($C615,'Shultis Faw'!$A$2:$A$26,1))),$C615*'Shultis Faw'!$F$2/'Shultis Faw'!$A$2)</f>
        <v>14.237030000000001</v>
      </c>
      <c r="N615" s="83">
        <f>J615*(H615*'Externe blootstelling'!$D$23/2)^K615+L615*(TANH(((H615*'Externe blootstelling'!$D$23)/(2*M615))-2)-TANH(-2))/(1-TANH(-2))</f>
        <v>1.7658053872415902</v>
      </c>
      <c r="O615" s="83">
        <f>IF(N615=1,1+(I615-1)*H615*'Externe blootstelling'!$D$23/2,1+(I615-1)*(N615^(H615*'Externe blootstelling'!$D$23/2)-1)/(N615-1))</f>
        <v>4.2824245322459387</v>
      </c>
      <c r="P615" s="67">
        <f>G615*EXP(-H615*'Externe blootstelling'!$D$23/2)*O615</f>
        <v>7.7209429708343478E-5</v>
      </c>
      <c r="Q615" s="68"/>
    </row>
    <row r="616" spans="1:17" x14ac:dyDescent="0.2">
      <c r="A616" s="217"/>
      <c r="B616" s="64" t="s">
        <v>104</v>
      </c>
      <c r="C616" s="66">
        <v>0.43060000000000004</v>
      </c>
      <c r="D616" s="66">
        <f t="shared" si="40"/>
        <v>6.8896000000000002E-14</v>
      </c>
      <c r="E616" s="66">
        <v>2.0000000000000001E-4</v>
      </c>
      <c r="F616" s="66">
        <f>_xlfn.IFNA(INDEX('hp (pSv cm2)'!$B$2:$B$52,MATCH($C616,'hp (pSv cm2)'!$A$2:$A$52,1))+($C616-INDEX('hp (pSv cm2)'!$A$2:$A$52,MATCH($C616,'hp (pSv cm2)'!$A$2:$A$52,1)))*(INDEX('hp (pSv cm2)'!$B$2:$B$52,MATCH($C616,'hp (pSv cm2)'!$A$2:$A$52,1)+1)-INDEX('hp (pSv cm2)'!$B$2:$B$52,MATCH($C616,'hp (pSv cm2)'!$A$2:$A$52,1)))/(INDEX('hp (pSv cm2)'!$A$2:$A$52,MATCH($C616,'hp (pSv cm2)'!$A$2:$A$52,1)+1)-INDEX('hp (pSv cm2)'!$A$2:$A$52,MATCH($C616,'hp (pSv cm2)'!$A$2:$A$52,1))),$C616*'hp (pSv cm2)'!$B$2/'hp (pSv cm2)'!$A$2)</f>
        <v>2.1438200000000003</v>
      </c>
      <c r="G616" s="67">
        <f t="shared" si="42"/>
        <v>4.287640000000001E-4</v>
      </c>
      <c r="H616" s="83">
        <f>_xlfn.IFNA(0.997*(INDEX('Mass attenuation coefficients'!$B$2:$B$37,MATCH($C616,'Mass attenuation coefficients'!$A$2:$A$37,1))+($C616-INDEX('Mass attenuation coefficients'!$A$2:$A$37,MATCH($C616,'Mass attenuation coefficients'!$A$2:$A$37,1)))*(INDEX('Mass attenuation coefficients'!$B$2:$B$37,MATCH($C616,'Mass attenuation coefficients'!$A$2:$A$37,1)+1)-INDEX('Mass attenuation coefficients'!$B$2:$B$37,MATCH($C616,'Mass attenuation coefficients'!$A$2:$A$37,1)))/(INDEX('Mass attenuation coefficients'!$A$2:$A$37,MATCH($C616,'Mass attenuation coefficients'!$A$2:$A$37,1)+1)-INDEX('Mass attenuation coefficients'!$A$2:$A$37,MATCH($C616,'Mass attenuation coefficients'!$A$2:$A$37,1)))),0.997*$C616*'Mass attenuation coefficients'!$B$2/'Mass attenuation coefficients'!$A$2)</f>
        <v>0.10296579314</v>
      </c>
      <c r="I616" s="83">
        <f>_xlfn.IFNA(INDEX('Shultis Faw'!$C$2:$C$26,MATCH($C616,'Shultis Faw'!$A$2:$A$26,1))+($C616-INDEX('Shultis Faw'!$A$2:$A$26,MATCH($C616,'Shultis Faw'!$A$2:$A$26,1)))*(INDEX('Shultis Faw'!$C$2:$C$26,MATCH($C616,'Shultis Faw'!$A$2:$A$26,1)+1)-INDEX('Shultis Faw'!$C$2:$C$26,MATCH($C616,'Shultis Faw'!$A$2:$A$26,1)))/(INDEX('Shultis Faw'!$A$2:$A$26,MATCH($C616,'Shultis Faw'!$A$2:$A$26,1)+1)-INDEX('Shultis Faw'!$A$2:$A$26,MATCH($C616,'Shultis Faw'!$A$2:$A$26,1))),$C616*'Shultis Faw'!$C$2/'Shultis Faw'!$A$2)</f>
        <v>2.61104</v>
      </c>
      <c r="J616" s="83">
        <f>_xlfn.IFNA(INDEX('Shultis Faw'!$D$2:$D$26,MATCH($C616,'Shultis Faw'!$A$2:$A$26,1))+($C616-INDEX('Shultis Faw'!$A$2:$A$26,MATCH($C616,'Shultis Faw'!$A$2:$A$26,1)))*(INDEX('Shultis Faw'!$D$2:$D$26,MATCH($C616,'Shultis Faw'!$A$2:$A$26,1)+1)-INDEX('Shultis Faw'!$D$2:$D$26,MATCH($C616,'Shultis Faw'!$A$2:$A$26,1)))/(INDEX('Shultis Faw'!$A$2:$A$26,MATCH($C616,'Shultis Faw'!$A$2:$A$26,1)+1)-INDEX('Shultis Faw'!$A$2:$A$26,MATCH($C616,'Shultis Faw'!$A$2:$A$26,1))),$C616*'Shultis Faw'!$D$2/'Shultis Faw'!$A$2)</f>
        <v>1.8465039999999999</v>
      </c>
      <c r="K616" s="83">
        <f>_xlfn.IFNA(INDEX('Shultis Faw'!$B$2:$B$26,MATCH($C616,'Shultis Faw'!$A$2:$A$26,1))+($C616-INDEX('Shultis Faw'!$A$2:$A$26,MATCH($C616,'Shultis Faw'!$A$2:$A$26,1)))*(INDEX('Shultis Faw'!$B$2:$B$26,MATCH($C616,'Shultis Faw'!$A$2:$A$26,1)+1)-INDEX('Shultis Faw'!$B$2:$B$26,MATCH($C616,'Shultis Faw'!$A$2:$A$26,1)))/(INDEX('Shultis Faw'!$A$2:$A$26,MATCH($C616,'Shultis Faw'!$A$2:$A$26,1)+1)-INDEX('Shultis Faw'!$A$2:$A$26,MATCH($C616,'Shultis Faw'!$A$2:$A$26,1))),$C616*'Shultis Faw'!$B$2/'Shultis Faw'!$A$2)</f>
        <v>-0.14471599999999998</v>
      </c>
      <c r="L616" s="83">
        <f>_xlfn.IFNA(INDEX('Shultis Faw'!$E$2:$E$26,MATCH($C616,'Shultis Faw'!$A$2:$A$26,1))+($C616-INDEX('Shultis Faw'!$A$2:$A$26,MATCH($C616,'Shultis Faw'!$A$2:$A$26,1)))*(INDEX('Shultis Faw'!$E$2:$E$26,MATCH($C616,'Shultis Faw'!$A$2:$A$26,1)+1)-INDEX('Shultis Faw'!$E$2:$E$26,MATCH($C616,'Shultis Faw'!$A$2:$A$26,1)))/(INDEX('Shultis Faw'!$A$2:$A$26,MATCH($C616,'Shultis Faw'!$A$2:$A$26,1)+1)-INDEX('Shultis Faw'!$A$2:$A$26,MATCH($C616,'Shultis Faw'!$A$2:$A$26,1))),$C616*'Shultis Faw'!$E$2/'Shultis Faw'!$A$2)</f>
        <v>5.8000599999999999E-2</v>
      </c>
      <c r="M616" s="83">
        <f>_xlfn.IFNA(INDEX('Shultis Faw'!$F$2:$F$26,MATCH($C616,'Shultis Faw'!$A$2:$A$26,1))+($C616-INDEX('Shultis Faw'!$A$2:$A$26,MATCH($C616,'Shultis Faw'!$A$2:$A$26,1)))*(INDEX('Shultis Faw'!$F$2:$F$26,MATCH($C616,'Shultis Faw'!$A$2:$A$26,1)+1)-INDEX('Shultis Faw'!$F$2:$F$26,MATCH($C616,'Shultis Faw'!$A$2:$A$26,1)))/(INDEX('Shultis Faw'!$A$2:$A$26,MATCH($C616,'Shultis Faw'!$A$2:$A$26,1)+1)-INDEX('Shultis Faw'!$A$2:$A$26,MATCH($C616,'Shultis Faw'!$A$2:$A$26,1))),$C616*'Shultis Faw'!$F$2/'Shultis Faw'!$A$2)</f>
        <v>14.26754</v>
      </c>
      <c r="N616" s="83">
        <f>J616*(H616*'Externe blootstelling'!$D$23/2)^K616+L616*(TANH(((H616*'Externe blootstelling'!$D$23)/(2*M616))-2)-TANH(-2))/(1-TANH(-2))</f>
        <v>1.7341754664931797</v>
      </c>
      <c r="O616" s="83">
        <f>IF(N616=1,1+(I616-1)*H616*'Externe blootstelling'!$D$23/2,1+(I616-1)*(N616^(H616*'Externe blootstelling'!$D$23/2)-1)/(N616-1))</f>
        <v>3.9411446612261773</v>
      </c>
      <c r="P616" s="67">
        <f>G616*EXP(-H616*'Externe blootstelling'!$D$23/2)*O616</f>
        <v>3.60643868723916E-4</v>
      </c>
      <c r="Q616" s="68"/>
    </row>
    <row r="617" spans="1:17" x14ac:dyDescent="0.2">
      <c r="A617" s="217"/>
      <c r="B617" s="64" t="s">
        <v>104</v>
      </c>
      <c r="C617" s="66">
        <v>0.43245</v>
      </c>
      <c r="D617" s="66">
        <f t="shared" si="40"/>
        <v>6.9191999999999999E-14</v>
      </c>
      <c r="E617" s="66">
        <v>3.5599999999999998E-4</v>
      </c>
      <c r="F617" s="66">
        <f>_xlfn.IFNA(INDEX('hp (pSv cm2)'!$B$2:$B$52,MATCH($C617,'hp (pSv cm2)'!$A$2:$A$52,1))+($C617-INDEX('hp (pSv cm2)'!$A$2:$A$52,MATCH($C617,'hp (pSv cm2)'!$A$2:$A$52,1)))*(INDEX('hp (pSv cm2)'!$B$2:$B$52,MATCH($C617,'hp (pSv cm2)'!$A$2:$A$52,1)+1)-INDEX('hp (pSv cm2)'!$B$2:$B$52,MATCH($C617,'hp (pSv cm2)'!$A$2:$A$52,1)))/(INDEX('hp (pSv cm2)'!$A$2:$A$52,MATCH($C617,'hp (pSv cm2)'!$A$2:$A$52,1)+1)-INDEX('hp (pSv cm2)'!$A$2:$A$52,MATCH($C617,'hp (pSv cm2)'!$A$2:$A$52,1))),$C617*'hp (pSv cm2)'!$B$2/'hp (pSv cm2)'!$A$2)</f>
        <v>2.1525150000000002</v>
      </c>
      <c r="G617" s="67">
        <f t="shared" si="42"/>
        <v>7.6629534E-4</v>
      </c>
      <c r="H617" s="83">
        <f>_xlfn.IFNA(0.997*(INDEX('Mass attenuation coefficients'!$B$2:$B$37,MATCH($C617,'Mass attenuation coefficients'!$A$2:$A$37,1))+($C617-INDEX('Mass attenuation coefficients'!$A$2:$A$37,MATCH($C617,'Mass attenuation coefficients'!$A$2:$A$37,1)))*(INDEX('Mass attenuation coefficients'!$B$2:$B$37,MATCH($C617,'Mass attenuation coefficients'!$A$2:$A$37,1)+1)-INDEX('Mass attenuation coefficients'!$B$2:$B$37,MATCH($C617,'Mass attenuation coefficients'!$A$2:$A$37,1)))/(INDEX('Mass attenuation coefficients'!$A$2:$A$37,MATCH($C617,'Mass attenuation coefficients'!$A$2:$A$37,1)+1)-INDEX('Mass attenuation coefficients'!$A$2:$A$37,MATCH($C617,'Mass attenuation coefficients'!$A$2:$A$37,1)))),0.997*$C617*'Mass attenuation coefficients'!$B$2/'Mass attenuation coefficients'!$A$2)</f>
        <v>0.10279555040500001</v>
      </c>
      <c r="I617" s="83">
        <f>_xlfn.IFNA(INDEX('Shultis Faw'!$C$2:$C$26,MATCH($C617,'Shultis Faw'!$A$2:$A$26,1))+($C617-INDEX('Shultis Faw'!$A$2:$A$26,MATCH($C617,'Shultis Faw'!$A$2:$A$26,1)))*(INDEX('Shultis Faw'!$C$2:$C$26,MATCH($C617,'Shultis Faw'!$A$2:$A$26,1)+1)-INDEX('Shultis Faw'!$C$2:$C$26,MATCH($C617,'Shultis Faw'!$A$2:$A$26,1)))/(INDEX('Shultis Faw'!$A$2:$A$26,MATCH($C617,'Shultis Faw'!$A$2:$A$26,1)+1)-INDEX('Shultis Faw'!$A$2:$A$26,MATCH($C617,'Shultis Faw'!$A$2:$A$26,1))),$C617*'Shultis Faw'!$C$2/'Shultis Faw'!$A$2)</f>
        <v>2.6080800000000002</v>
      </c>
      <c r="J617" s="83">
        <f>_xlfn.IFNA(INDEX('Shultis Faw'!$D$2:$D$26,MATCH($C617,'Shultis Faw'!$A$2:$A$26,1))+($C617-INDEX('Shultis Faw'!$A$2:$A$26,MATCH($C617,'Shultis Faw'!$A$2:$A$26,1)))*(INDEX('Shultis Faw'!$D$2:$D$26,MATCH($C617,'Shultis Faw'!$A$2:$A$26,1)+1)-INDEX('Shultis Faw'!$D$2:$D$26,MATCH($C617,'Shultis Faw'!$A$2:$A$26,1)))/(INDEX('Shultis Faw'!$A$2:$A$26,MATCH($C617,'Shultis Faw'!$A$2:$A$26,1)+1)-INDEX('Shultis Faw'!$A$2:$A$26,MATCH($C617,'Shultis Faw'!$A$2:$A$26,1))),$C617*'Shultis Faw'!$D$2/'Shultis Faw'!$A$2)</f>
        <v>1.8443579999999999</v>
      </c>
      <c r="K617" s="83">
        <f>_xlfn.IFNA(INDEX('Shultis Faw'!$B$2:$B$26,MATCH($C617,'Shultis Faw'!$A$2:$A$26,1))+($C617-INDEX('Shultis Faw'!$A$2:$A$26,MATCH($C617,'Shultis Faw'!$A$2:$A$26,1)))*(INDEX('Shultis Faw'!$B$2:$B$26,MATCH($C617,'Shultis Faw'!$A$2:$A$26,1)+1)-INDEX('Shultis Faw'!$B$2:$B$26,MATCH($C617,'Shultis Faw'!$A$2:$A$26,1)))/(INDEX('Shultis Faw'!$A$2:$A$26,MATCH($C617,'Shultis Faw'!$A$2:$A$26,1)+1)-INDEX('Shultis Faw'!$A$2:$A$26,MATCH($C617,'Shultis Faw'!$A$2:$A$26,1))),$C617*'Shultis Faw'!$B$2/'Shultis Faw'!$A$2)</f>
        <v>-0.144457</v>
      </c>
      <c r="L617" s="83">
        <f>_xlfn.IFNA(INDEX('Shultis Faw'!$E$2:$E$26,MATCH($C617,'Shultis Faw'!$A$2:$A$26,1))+($C617-INDEX('Shultis Faw'!$A$2:$A$26,MATCH($C617,'Shultis Faw'!$A$2:$A$26,1)))*(INDEX('Shultis Faw'!$E$2:$E$26,MATCH($C617,'Shultis Faw'!$A$2:$A$26,1)+1)-INDEX('Shultis Faw'!$E$2:$E$26,MATCH($C617,'Shultis Faw'!$A$2:$A$26,1)))/(INDEX('Shultis Faw'!$A$2:$A$26,MATCH($C617,'Shultis Faw'!$A$2:$A$26,1)+1)-INDEX('Shultis Faw'!$A$2:$A$26,MATCH($C617,'Shultis Faw'!$A$2:$A$26,1))),$C617*'Shultis Faw'!$E$2/'Shultis Faw'!$A$2)</f>
        <v>5.7909950000000002E-2</v>
      </c>
      <c r="M617" s="83">
        <f>_xlfn.IFNA(INDEX('Shultis Faw'!$F$2:$F$26,MATCH($C617,'Shultis Faw'!$A$2:$A$26,1))+($C617-INDEX('Shultis Faw'!$A$2:$A$26,MATCH($C617,'Shultis Faw'!$A$2:$A$26,1)))*(INDEX('Shultis Faw'!$F$2:$F$26,MATCH($C617,'Shultis Faw'!$A$2:$A$26,1)+1)-INDEX('Shultis Faw'!$F$2:$F$26,MATCH($C617,'Shultis Faw'!$A$2:$A$26,1)))/(INDEX('Shultis Faw'!$A$2:$A$26,MATCH($C617,'Shultis Faw'!$A$2:$A$26,1)+1)-INDEX('Shultis Faw'!$A$2:$A$26,MATCH($C617,'Shultis Faw'!$A$2:$A$26,1))),$C617*'Shultis Faw'!$F$2/'Shultis Faw'!$A$2)</f>
        <v>14.269204999999999</v>
      </c>
      <c r="N617" s="83">
        <f>J617*(H617*'Externe blootstelling'!$D$23/2)^K617+L617*(TANH(((H617*'Externe blootstelling'!$D$23)/(2*M617))-2)-TANH(-2))/(1-TANH(-2))</f>
        <v>1.7327685151685475</v>
      </c>
      <c r="O617" s="83">
        <f>IF(N617=1,1+(I617-1)*H617*'Externe blootstelling'!$D$23/2,1+(I617-1)*(N617^(H617*'Externe blootstelling'!$D$23/2)-1)/(N617-1))</f>
        <v>3.9277478050372046</v>
      </c>
      <c r="P617" s="67">
        <f>G617*EXP(-H617*'Externe blootstelling'!$D$23/2)*O617</f>
        <v>6.4400119695240746E-4</v>
      </c>
      <c r="Q617" s="68"/>
    </row>
    <row r="618" spans="1:17" x14ac:dyDescent="0.2">
      <c r="A618" s="217"/>
      <c r="B618" s="64" t="s">
        <v>104</v>
      </c>
      <c r="C618" s="66">
        <v>0.44503300000000001</v>
      </c>
      <c r="D618" s="66">
        <f t="shared" si="40"/>
        <v>7.1205279999999998E-14</v>
      </c>
      <c r="E618" s="66">
        <v>1.2800000000000001E-2</v>
      </c>
      <c r="F618" s="66">
        <f>_xlfn.IFNA(INDEX('hp (pSv cm2)'!$B$2:$B$52,MATCH($C618,'hp (pSv cm2)'!$A$2:$A$52,1))+($C618-INDEX('hp (pSv cm2)'!$A$2:$A$52,MATCH($C618,'hp (pSv cm2)'!$A$2:$A$52,1)))*(INDEX('hp (pSv cm2)'!$B$2:$B$52,MATCH($C618,'hp (pSv cm2)'!$A$2:$A$52,1)+1)-INDEX('hp (pSv cm2)'!$B$2:$B$52,MATCH($C618,'hp (pSv cm2)'!$A$2:$A$52,1)))/(INDEX('hp (pSv cm2)'!$A$2:$A$52,MATCH($C618,'hp (pSv cm2)'!$A$2:$A$52,1)+1)-INDEX('hp (pSv cm2)'!$A$2:$A$52,MATCH($C618,'hp (pSv cm2)'!$A$2:$A$52,1))),$C618*'hp (pSv cm2)'!$B$2/'hp (pSv cm2)'!$A$2)</f>
        <v>2.2116551000000002</v>
      </c>
      <c r="G618" s="67">
        <f t="shared" si="42"/>
        <v>2.8309185280000003E-2</v>
      </c>
      <c r="H618" s="83">
        <f>_xlfn.IFNA(0.997*(INDEX('Mass attenuation coefficients'!$B$2:$B$37,MATCH($C618,'Mass attenuation coefficients'!$A$2:$A$37,1))+($C618-INDEX('Mass attenuation coefficients'!$A$2:$A$37,MATCH($C618,'Mass attenuation coefficients'!$A$2:$A$37,1)))*(INDEX('Mass attenuation coefficients'!$B$2:$B$37,MATCH($C618,'Mass attenuation coefficients'!$A$2:$A$37,1)+1)-INDEX('Mass attenuation coefficients'!$B$2:$B$37,MATCH($C618,'Mass attenuation coefficients'!$A$2:$A$37,1)))/(INDEX('Mass attenuation coefficients'!$A$2:$A$37,MATCH($C618,'Mass attenuation coefficients'!$A$2:$A$37,1)+1)-INDEX('Mass attenuation coefficients'!$A$2:$A$37,MATCH($C618,'Mass attenuation coefficients'!$A$2:$A$37,1)))),0.997*$C618*'Mass attenuation coefficients'!$B$2/'Mass attenuation coefficients'!$A$2)</f>
        <v>0.10163762373769999</v>
      </c>
      <c r="I618" s="83">
        <f>_xlfn.IFNA(INDEX('Shultis Faw'!$C$2:$C$26,MATCH($C618,'Shultis Faw'!$A$2:$A$26,1))+($C618-INDEX('Shultis Faw'!$A$2:$A$26,MATCH($C618,'Shultis Faw'!$A$2:$A$26,1)))*(INDEX('Shultis Faw'!$C$2:$C$26,MATCH($C618,'Shultis Faw'!$A$2:$A$26,1)+1)-INDEX('Shultis Faw'!$C$2:$C$26,MATCH($C618,'Shultis Faw'!$A$2:$A$26,1)))/(INDEX('Shultis Faw'!$A$2:$A$26,MATCH($C618,'Shultis Faw'!$A$2:$A$26,1)+1)-INDEX('Shultis Faw'!$A$2:$A$26,MATCH($C618,'Shultis Faw'!$A$2:$A$26,1))),$C618*'Shultis Faw'!$C$2/'Shultis Faw'!$A$2)</f>
        <v>2.5879471999999999</v>
      </c>
      <c r="J618" s="83">
        <f>_xlfn.IFNA(INDEX('Shultis Faw'!$D$2:$D$26,MATCH($C618,'Shultis Faw'!$A$2:$A$26,1))+($C618-INDEX('Shultis Faw'!$A$2:$A$26,MATCH($C618,'Shultis Faw'!$A$2:$A$26,1)))*(INDEX('Shultis Faw'!$D$2:$D$26,MATCH($C618,'Shultis Faw'!$A$2:$A$26,1)+1)-INDEX('Shultis Faw'!$D$2:$D$26,MATCH($C618,'Shultis Faw'!$A$2:$A$26,1)))/(INDEX('Shultis Faw'!$A$2:$A$26,MATCH($C618,'Shultis Faw'!$A$2:$A$26,1)+1)-INDEX('Shultis Faw'!$A$2:$A$26,MATCH($C618,'Shultis Faw'!$A$2:$A$26,1))),$C618*'Shultis Faw'!$D$2/'Shultis Faw'!$A$2)</f>
        <v>1.82976172</v>
      </c>
      <c r="K618" s="83">
        <f>_xlfn.IFNA(INDEX('Shultis Faw'!$B$2:$B$26,MATCH($C618,'Shultis Faw'!$A$2:$A$26,1))+($C618-INDEX('Shultis Faw'!$A$2:$A$26,MATCH($C618,'Shultis Faw'!$A$2:$A$26,1)))*(INDEX('Shultis Faw'!$B$2:$B$26,MATCH($C618,'Shultis Faw'!$A$2:$A$26,1)+1)-INDEX('Shultis Faw'!$B$2:$B$26,MATCH($C618,'Shultis Faw'!$A$2:$A$26,1)))/(INDEX('Shultis Faw'!$A$2:$A$26,MATCH($C618,'Shultis Faw'!$A$2:$A$26,1)+1)-INDEX('Shultis Faw'!$A$2:$A$26,MATCH($C618,'Shultis Faw'!$A$2:$A$26,1))),$C618*'Shultis Faw'!$B$2/'Shultis Faw'!$A$2)</f>
        <v>-0.14269538000000001</v>
      </c>
      <c r="L618" s="83">
        <f>_xlfn.IFNA(INDEX('Shultis Faw'!$E$2:$E$26,MATCH($C618,'Shultis Faw'!$A$2:$A$26,1))+($C618-INDEX('Shultis Faw'!$A$2:$A$26,MATCH($C618,'Shultis Faw'!$A$2:$A$26,1)))*(INDEX('Shultis Faw'!$E$2:$E$26,MATCH($C618,'Shultis Faw'!$A$2:$A$26,1)+1)-INDEX('Shultis Faw'!$E$2:$E$26,MATCH($C618,'Shultis Faw'!$A$2:$A$26,1)))/(INDEX('Shultis Faw'!$A$2:$A$26,MATCH($C618,'Shultis Faw'!$A$2:$A$26,1)+1)-INDEX('Shultis Faw'!$A$2:$A$26,MATCH($C618,'Shultis Faw'!$A$2:$A$26,1))),$C618*'Shultis Faw'!$E$2/'Shultis Faw'!$A$2)</f>
        <v>5.7293383000000003E-2</v>
      </c>
      <c r="M618" s="83">
        <f>_xlfn.IFNA(INDEX('Shultis Faw'!$F$2:$F$26,MATCH($C618,'Shultis Faw'!$A$2:$A$26,1))+($C618-INDEX('Shultis Faw'!$A$2:$A$26,MATCH($C618,'Shultis Faw'!$A$2:$A$26,1)))*(INDEX('Shultis Faw'!$F$2:$F$26,MATCH($C618,'Shultis Faw'!$A$2:$A$26,1)+1)-INDEX('Shultis Faw'!$F$2:$F$26,MATCH($C618,'Shultis Faw'!$A$2:$A$26,1)))/(INDEX('Shultis Faw'!$A$2:$A$26,MATCH($C618,'Shultis Faw'!$A$2:$A$26,1)+1)-INDEX('Shultis Faw'!$A$2:$A$26,MATCH($C618,'Shultis Faw'!$A$2:$A$26,1))),$C618*'Shultis Faw'!$F$2/'Shultis Faw'!$A$2)</f>
        <v>14.280529700000001</v>
      </c>
      <c r="N618" s="83">
        <f>J618*(H618*'Externe blootstelling'!$D$23/2)^K618+L618*(TANH(((H618*'Externe blootstelling'!$D$23)/(2*M618))-2)-TANH(-2))/(1-TANH(-2))</f>
        <v>1.7231458722992292</v>
      </c>
      <c r="O618" s="83">
        <f>IF(N618=1,1+(I618-1)*H618*'Externe blootstelling'!$D$23/2,1+(I618-1)*(N618^(H618*'Externe blootstelling'!$D$23/2)-1)/(N618-1))</f>
        <v>3.8379394911104301</v>
      </c>
      <c r="P618" s="67">
        <f>G618*EXP(-H618*'Externe blootstelling'!$D$23/2)*O618</f>
        <v>2.3654599920789991E-2</v>
      </c>
      <c r="Q618" s="68"/>
    </row>
    <row r="619" spans="1:17" x14ac:dyDescent="0.2">
      <c r="A619" s="217"/>
      <c r="B619" s="64" t="s">
        <v>104</v>
      </c>
      <c r="C619" s="66">
        <v>0.48749999999999999</v>
      </c>
      <c r="D619" s="66">
        <f t="shared" si="40"/>
        <v>7.7999999999999996E-14</v>
      </c>
      <c r="E619" s="66">
        <v>1.0999999999999999E-4</v>
      </c>
      <c r="F619" s="66">
        <f>_xlfn.IFNA(INDEX('hp (pSv cm2)'!$B$2:$B$52,MATCH($C619,'hp (pSv cm2)'!$A$2:$A$52,1))+($C619-INDEX('hp (pSv cm2)'!$A$2:$A$52,MATCH($C619,'hp (pSv cm2)'!$A$2:$A$52,1)))*(INDEX('hp (pSv cm2)'!$B$2:$B$52,MATCH($C619,'hp (pSv cm2)'!$A$2:$A$52,1)+1)-INDEX('hp (pSv cm2)'!$B$2:$B$52,MATCH($C619,'hp (pSv cm2)'!$A$2:$A$52,1)))/(INDEX('hp (pSv cm2)'!$A$2:$A$52,MATCH($C619,'hp (pSv cm2)'!$A$2:$A$52,1)+1)-INDEX('hp (pSv cm2)'!$A$2:$A$52,MATCH($C619,'hp (pSv cm2)'!$A$2:$A$52,1))),$C619*'hp (pSv cm2)'!$B$2/'hp (pSv cm2)'!$A$2)</f>
        <v>2.4112499999999999</v>
      </c>
      <c r="G619" s="67">
        <f t="shared" si="42"/>
        <v>2.6523749999999999E-4</v>
      </c>
      <c r="H619" s="83">
        <f>_xlfn.IFNA(0.997*(INDEX('Mass attenuation coefficients'!$B$2:$B$37,MATCH($C619,'Mass attenuation coefficients'!$A$2:$A$37,1))+($C619-INDEX('Mass attenuation coefficients'!$A$2:$A$37,MATCH($C619,'Mass attenuation coefficients'!$A$2:$A$37,1)))*(INDEX('Mass attenuation coefficients'!$B$2:$B$37,MATCH($C619,'Mass attenuation coefficients'!$A$2:$A$37,1)+1)-INDEX('Mass attenuation coefficients'!$B$2:$B$37,MATCH($C619,'Mass attenuation coefficients'!$A$2:$A$37,1)))/(INDEX('Mass attenuation coefficients'!$A$2:$A$37,MATCH($C619,'Mass attenuation coefficients'!$A$2:$A$37,1)+1)-INDEX('Mass attenuation coefficients'!$A$2:$A$37,MATCH($C619,'Mass attenuation coefficients'!$A$2:$A$37,1)))),0.997*$C619*'Mass attenuation coefficients'!$B$2/'Mass attenuation coefficients'!$A$2)</f>
        <v>9.7729678749999993E-2</v>
      </c>
      <c r="I619" s="83">
        <f>_xlfn.IFNA(INDEX('Shultis Faw'!$C$2:$C$26,MATCH($C619,'Shultis Faw'!$A$2:$A$26,1))+($C619-INDEX('Shultis Faw'!$A$2:$A$26,MATCH($C619,'Shultis Faw'!$A$2:$A$26,1)))*(INDEX('Shultis Faw'!$C$2:$C$26,MATCH($C619,'Shultis Faw'!$A$2:$A$26,1)+1)-INDEX('Shultis Faw'!$C$2:$C$26,MATCH($C619,'Shultis Faw'!$A$2:$A$26,1)))/(INDEX('Shultis Faw'!$A$2:$A$26,MATCH($C619,'Shultis Faw'!$A$2:$A$26,1)+1)-INDEX('Shultis Faw'!$A$2:$A$26,MATCH($C619,'Shultis Faw'!$A$2:$A$26,1))),$C619*'Shultis Faw'!$C$2/'Shultis Faw'!$A$2)</f>
        <v>2.52</v>
      </c>
      <c r="J619" s="83">
        <f>_xlfn.IFNA(INDEX('Shultis Faw'!$D$2:$D$26,MATCH($C619,'Shultis Faw'!$A$2:$A$26,1))+($C619-INDEX('Shultis Faw'!$A$2:$A$26,MATCH($C619,'Shultis Faw'!$A$2:$A$26,1)))*(INDEX('Shultis Faw'!$D$2:$D$26,MATCH($C619,'Shultis Faw'!$A$2:$A$26,1)+1)-INDEX('Shultis Faw'!$D$2:$D$26,MATCH($C619,'Shultis Faw'!$A$2:$A$26,1)))/(INDEX('Shultis Faw'!$A$2:$A$26,MATCH($C619,'Shultis Faw'!$A$2:$A$26,1)+1)-INDEX('Shultis Faw'!$A$2:$A$26,MATCH($C619,'Shultis Faw'!$A$2:$A$26,1))),$C619*'Shultis Faw'!$D$2/'Shultis Faw'!$A$2)</f>
        <v>1.7805</v>
      </c>
      <c r="K619" s="83">
        <f>_xlfn.IFNA(INDEX('Shultis Faw'!$B$2:$B$26,MATCH($C619,'Shultis Faw'!$A$2:$A$26,1))+($C619-INDEX('Shultis Faw'!$A$2:$A$26,MATCH($C619,'Shultis Faw'!$A$2:$A$26,1)))*(INDEX('Shultis Faw'!$B$2:$B$26,MATCH($C619,'Shultis Faw'!$A$2:$A$26,1)+1)-INDEX('Shultis Faw'!$B$2:$B$26,MATCH($C619,'Shultis Faw'!$A$2:$A$26,1)))/(INDEX('Shultis Faw'!$A$2:$A$26,MATCH($C619,'Shultis Faw'!$A$2:$A$26,1)+1)-INDEX('Shultis Faw'!$A$2:$A$26,MATCH($C619,'Shultis Faw'!$A$2:$A$26,1))),$C619*'Shultis Faw'!$B$2/'Shultis Faw'!$A$2)</f>
        <v>-0.13675000000000001</v>
      </c>
      <c r="L619" s="83">
        <f>_xlfn.IFNA(INDEX('Shultis Faw'!$E$2:$E$26,MATCH($C619,'Shultis Faw'!$A$2:$A$26,1))+($C619-INDEX('Shultis Faw'!$A$2:$A$26,MATCH($C619,'Shultis Faw'!$A$2:$A$26,1)))*(INDEX('Shultis Faw'!$E$2:$E$26,MATCH($C619,'Shultis Faw'!$A$2:$A$26,1)+1)-INDEX('Shultis Faw'!$E$2:$E$26,MATCH($C619,'Shultis Faw'!$A$2:$A$26,1)))/(INDEX('Shultis Faw'!$A$2:$A$26,MATCH($C619,'Shultis Faw'!$A$2:$A$26,1)+1)-INDEX('Shultis Faw'!$A$2:$A$26,MATCH($C619,'Shultis Faw'!$A$2:$A$26,1))),$C619*'Shultis Faw'!$E$2/'Shultis Faw'!$A$2)</f>
        <v>5.5212500000000005E-2</v>
      </c>
      <c r="M619" s="83">
        <f>_xlfn.IFNA(INDEX('Shultis Faw'!$F$2:$F$26,MATCH($C619,'Shultis Faw'!$A$2:$A$26,1))+($C619-INDEX('Shultis Faw'!$A$2:$A$26,MATCH($C619,'Shultis Faw'!$A$2:$A$26,1)))*(INDEX('Shultis Faw'!$F$2:$F$26,MATCH($C619,'Shultis Faw'!$A$2:$A$26,1)+1)-INDEX('Shultis Faw'!$F$2:$F$26,MATCH($C619,'Shultis Faw'!$A$2:$A$26,1)))/(INDEX('Shultis Faw'!$A$2:$A$26,MATCH($C619,'Shultis Faw'!$A$2:$A$26,1)+1)-INDEX('Shultis Faw'!$A$2:$A$26,MATCH($C619,'Shultis Faw'!$A$2:$A$26,1))),$C619*'Shultis Faw'!$F$2/'Shultis Faw'!$A$2)</f>
        <v>14.31875</v>
      </c>
      <c r="N619" s="83">
        <f>J619*(H619*'Externe blootstelling'!$D$23/2)^K619+L619*(TANH(((H619*'Externe blootstelling'!$D$23)/(2*M619))-2)-TANH(-2))/(1-TANH(-2))</f>
        <v>1.6899861083419785</v>
      </c>
      <c r="O619" s="83">
        <f>IF(N619=1,1+(I619-1)*H619*'Externe blootstelling'!$D$23/2,1+(I619-1)*(N619^(H619*'Externe blootstelling'!$D$23/2)-1)/(N619-1))</f>
        <v>3.551147371454066</v>
      </c>
      <c r="P619" s="67">
        <f>G619*EXP(-H619*'Externe blootstelling'!$D$23/2)*O619</f>
        <v>2.1744614795770465E-4</v>
      </c>
      <c r="Q619" s="68"/>
    </row>
    <row r="620" spans="1:17" x14ac:dyDescent="0.2">
      <c r="A620" s="217"/>
      <c r="B620" s="64" t="s">
        <v>104</v>
      </c>
      <c r="C620" s="66">
        <v>0.49080000000000001</v>
      </c>
      <c r="D620" s="66">
        <f t="shared" si="40"/>
        <v>7.8528000000000001E-14</v>
      </c>
      <c r="E620" s="66">
        <v>1.7E-5</v>
      </c>
      <c r="F620" s="66">
        <f>_xlfn.IFNA(INDEX('hp (pSv cm2)'!$B$2:$B$52,MATCH($C620,'hp (pSv cm2)'!$A$2:$A$52,1))+($C620-INDEX('hp (pSv cm2)'!$A$2:$A$52,MATCH($C620,'hp (pSv cm2)'!$A$2:$A$52,1)))*(INDEX('hp (pSv cm2)'!$B$2:$B$52,MATCH($C620,'hp (pSv cm2)'!$A$2:$A$52,1)+1)-INDEX('hp (pSv cm2)'!$B$2:$B$52,MATCH($C620,'hp (pSv cm2)'!$A$2:$A$52,1)))/(INDEX('hp (pSv cm2)'!$A$2:$A$52,MATCH($C620,'hp (pSv cm2)'!$A$2:$A$52,1)+1)-INDEX('hp (pSv cm2)'!$A$2:$A$52,MATCH($C620,'hp (pSv cm2)'!$A$2:$A$52,1))),$C620*'hp (pSv cm2)'!$B$2/'hp (pSv cm2)'!$A$2)</f>
        <v>2.4267600000000003</v>
      </c>
      <c r="G620" s="67">
        <f t="shared" si="42"/>
        <v>4.1254920000000005E-5</v>
      </c>
      <c r="H620" s="83">
        <f>_xlfn.IFNA(0.997*(INDEX('Mass attenuation coefficients'!$B$2:$B$37,MATCH($C620,'Mass attenuation coefficients'!$A$2:$A$37,1))+($C620-INDEX('Mass attenuation coefficients'!$A$2:$A$37,MATCH($C620,'Mass attenuation coefficients'!$A$2:$A$37,1)))*(INDEX('Mass attenuation coefficients'!$B$2:$B$37,MATCH($C620,'Mass attenuation coefficients'!$A$2:$A$37,1)+1)-INDEX('Mass attenuation coefficients'!$B$2:$B$37,MATCH($C620,'Mass attenuation coefficients'!$A$2:$A$37,1)))/(INDEX('Mass attenuation coefficients'!$A$2:$A$37,MATCH($C620,'Mass attenuation coefficients'!$A$2:$A$37,1)+1)-INDEX('Mass attenuation coefficients'!$A$2:$A$37,MATCH($C620,'Mass attenuation coefficients'!$A$2:$A$37,1)))),0.997*$C620*'Mass attenuation coefficients'!$B$2/'Mass attenuation coefficients'!$A$2)</f>
        <v>9.7426002519999999E-2</v>
      </c>
      <c r="I620" s="83">
        <f>_xlfn.IFNA(INDEX('Shultis Faw'!$C$2:$C$26,MATCH($C620,'Shultis Faw'!$A$2:$A$26,1))+($C620-INDEX('Shultis Faw'!$A$2:$A$26,MATCH($C620,'Shultis Faw'!$A$2:$A$26,1)))*(INDEX('Shultis Faw'!$C$2:$C$26,MATCH($C620,'Shultis Faw'!$A$2:$A$26,1)+1)-INDEX('Shultis Faw'!$C$2:$C$26,MATCH($C620,'Shultis Faw'!$A$2:$A$26,1)))/(INDEX('Shultis Faw'!$A$2:$A$26,MATCH($C620,'Shultis Faw'!$A$2:$A$26,1)+1)-INDEX('Shultis Faw'!$A$2:$A$26,MATCH($C620,'Shultis Faw'!$A$2:$A$26,1))),$C620*'Shultis Faw'!$C$2/'Shultis Faw'!$A$2)</f>
        <v>2.5147200000000001</v>
      </c>
      <c r="J620" s="83">
        <f>_xlfn.IFNA(INDEX('Shultis Faw'!$D$2:$D$26,MATCH($C620,'Shultis Faw'!$A$2:$A$26,1))+($C620-INDEX('Shultis Faw'!$A$2:$A$26,MATCH($C620,'Shultis Faw'!$A$2:$A$26,1)))*(INDEX('Shultis Faw'!$D$2:$D$26,MATCH($C620,'Shultis Faw'!$A$2:$A$26,1)+1)-INDEX('Shultis Faw'!$D$2:$D$26,MATCH($C620,'Shultis Faw'!$A$2:$A$26,1)))/(INDEX('Shultis Faw'!$A$2:$A$26,MATCH($C620,'Shultis Faw'!$A$2:$A$26,1)+1)-INDEX('Shultis Faw'!$A$2:$A$26,MATCH($C620,'Shultis Faw'!$A$2:$A$26,1))),$C620*'Shultis Faw'!$D$2/'Shultis Faw'!$A$2)</f>
        <v>1.776672</v>
      </c>
      <c r="K620" s="83">
        <f>_xlfn.IFNA(INDEX('Shultis Faw'!$B$2:$B$26,MATCH($C620,'Shultis Faw'!$A$2:$A$26,1))+($C620-INDEX('Shultis Faw'!$A$2:$A$26,MATCH($C620,'Shultis Faw'!$A$2:$A$26,1)))*(INDEX('Shultis Faw'!$B$2:$B$26,MATCH($C620,'Shultis Faw'!$A$2:$A$26,1)+1)-INDEX('Shultis Faw'!$B$2:$B$26,MATCH($C620,'Shultis Faw'!$A$2:$A$26,1)))/(INDEX('Shultis Faw'!$A$2:$A$26,MATCH($C620,'Shultis Faw'!$A$2:$A$26,1)+1)-INDEX('Shultis Faw'!$A$2:$A$26,MATCH($C620,'Shultis Faw'!$A$2:$A$26,1))),$C620*'Shultis Faw'!$B$2/'Shultis Faw'!$A$2)</f>
        <v>-0.13628799999999999</v>
      </c>
      <c r="L620" s="83">
        <f>_xlfn.IFNA(INDEX('Shultis Faw'!$E$2:$E$26,MATCH($C620,'Shultis Faw'!$A$2:$A$26,1))+($C620-INDEX('Shultis Faw'!$A$2:$A$26,MATCH($C620,'Shultis Faw'!$A$2:$A$26,1)))*(INDEX('Shultis Faw'!$E$2:$E$26,MATCH($C620,'Shultis Faw'!$A$2:$A$26,1)+1)-INDEX('Shultis Faw'!$E$2:$E$26,MATCH($C620,'Shultis Faw'!$A$2:$A$26,1)))/(INDEX('Shultis Faw'!$A$2:$A$26,MATCH($C620,'Shultis Faw'!$A$2:$A$26,1)+1)-INDEX('Shultis Faw'!$A$2:$A$26,MATCH($C620,'Shultis Faw'!$A$2:$A$26,1))),$C620*'Shultis Faw'!$E$2/'Shultis Faw'!$A$2)</f>
        <v>5.5050800000000004E-2</v>
      </c>
      <c r="M620" s="83">
        <f>_xlfn.IFNA(INDEX('Shultis Faw'!$F$2:$F$26,MATCH($C620,'Shultis Faw'!$A$2:$A$26,1))+($C620-INDEX('Shultis Faw'!$A$2:$A$26,MATCH($C620,'Shultis Faw'!$A$2:$A$26,1)))*(INDEX('Shultis Faw'!$F$2:$F$26,MATCH($C620,'Shultis Faw'!$A$2:$A$26,1)+1)-INDEX('Shultis Faw'!$F$2:$F$26,MATCH($C620,'Shultis Faw'!$A$2:$A$26,1)))/(INDEX('Shultis Faw'!$A$2:$A$26,MATCH($C620,'Shultis Faw'!$A$2:$A$26,1)+1)-INDEX('Shultis Faw'!$A$2:$A$26,MATCH($C620,'Shultis Faw'!$A$2:$A$26,1))),$C620*'Shultis Faw'!$F$2/'Shultis Faw'!$A$2)</f>
        <v>14.321720000000001</v>
      </c>
      <c r="N620" s="83">
        <f>J620*(H620*'Externe blootstelling'!$D$23/2)^K620+L620*(TANH(((H620*'Externe blootstelling'!$D$23)/(2*M620))-2)-TANH(-2))/(1-TANH(-2))</f>
        <v>1.687365153818172</v>
      </c>
      <c r="O620" s="83">
        <f>IF(N620=1,1+(I620-1)*H620*'Externe blootstelling'!$D$23/2,1+(I620-1)*(N620^(H620*'Externe blootstelling'!$D$23/2)-1)/(N620-1))</f>
        <v>3.5298773433719779</v>
      </c>
      <c r="P620" s="67">
        <f>G620*EXP(-H620*'Externe blootstelling'!$D$23/2)*O620</f>
        <v>3.3772385246482631E-5</v>
      </c>
      <c r="Q620" s="68"/>
    </row>
    <row r="621" spans="1:17" x14ac:dyDescent="0.2">
      <c r="A621" s="217"/>
      <c r="B621" s="64" t="s">
        <v>104</v>
      </c>
      <c r="C621" s="66">
        <v>0.5</v>
      </c>
      <c r="D621" s="66">
        <f t="shared" si="40"/>
        <v>8E-14</v>
      </c>
      <c r="E621" s="66">
        <v>1.4E-5</v>
      </c>
      <c r="F621" s="66">
        <f>_xlfn.IFNA(INDEX('hp (pSv cm2)'!$B$2:$B$52,MATCH($C621,'hp (pSv cm2)'!$A$2:$A$52,1))+($C621-INDEX('hp (pSv cm2)'!$A$2:$A$52,MATCH($C621,'hp (pSv cm2)'!$A$2:$A$52,1)))*(INDEX('hp (pSv cm2)'!$B$2:$B$52,MATCH($C621,'hp (pSv cm2)'!$A$2:$A$52,1)+1)-INDEX('hp (pSv cm2)'!$B$2:$B$52,MATCH($C621,'hp (pSv cm2)'!$A$2:$A$52,1)))/(INDEX('hp (pSv cm2)'!$A$2:$A$52,MATCH($C621,'hp (pSv cm2)'!$A$2:$A$52,1)+1)-INDEX('hp (pSv cm2)'!$A$2:$A$52,MATCH($C621,'hp (pSv cm2)'!$A$2:$A$52,1))),$C621*'hp (pSv cm2)'!$B$2/'hp (pSv cm2)'!$A$2)</f>
        <v>2.4700000000000002</v>
      </c>
      <c r="G621" s="67">
        <f t="shared" si="42"/>
        <v>3.4580000000000004E-5</v>
      </c>
      <c r="H621" s="83">
        <f>_xlfn.IFNA(0.997*(INDEX('Mass attenuation coefficients'!$B$2:$B$37,MATCH($C621,'Mass attenuation coefficients'!$A$2:$A$37,1))+($C621-INDEX('Mass attenuation coefficients'!$A$2:$A$37,MATCH($C621,'Mass attenuation coefficients'!$A$2:$A$37,1)))*(INDEX('Mass attenuation coefficients'!$B$2:$B$37,MATCH($C621,'Mass attenuation coefficients'!$A$2:$A$37,1)+1)-INDEX('Mass attenuation coefficients'!$B$2:$B$37,MATCH($C621,'Mass attenuation coefficients'!$A$2:$A$37,1)))/(INDEX('Mass attenuation coefficients'!$A$2:$A$37,MATCH($C621,'Mass attenuation coefficients'!$A$2:$A$37,1)+1)-INDEX('Mass attenuation coefficients'!$A$2:$A$37,MATCH($C621,'Mass attenuation coefficients'!$A$2:$A$37,1)))),0.997*$C621*'Mass attenuation coefficients'!$B$2/'Mass attenuation coefficients'!$A$2)</f>
        <v>9.6579390000000001E-2</v>
      </c>
      <c r="I621" s="83">
        <f>_xlfn.IFNA(INDEX('Shultis Faw'!$C$2:$C$26,MATCH($C621,'Shultis Faw'!$A$2:$A$26,1))+($C621-INDEX('Shultis Faw'!$A$2:$A$26,MATCH($C621,'Shultis Faw'!$A$2:$A$26,1)))*(INDEX('Shultis Faw'!$C$2:$C$26,MATCH($C621,'Shultis Faw'!$A$2:$A$26,1)+1)-INDEX('Shultis Faw'!$C$2:$C$26,MATCH($C621,'Shultis Faw'!$A$2:$A$26,1)))/(INDEX('Shultis Faw'!$A$2:$A$26,MATCH($C621,'Shultis Faw'!$A$2:$A$26,1)+1)-INDEX('Shultis Faw'!$A$2:$A$26,MATCH($C621,'Shultis Faw'!$A$2:$A$26,1))),$C621*'Shultis Faw'!$C$2/'Shultis Faw'!$A$2)</f>
        <v>2.5</v>
      </c>
      <c r="J621" s="83">
        <f>_xlfn.IFNA(INDEX('Shultis Faw'!$D$2:$D$26,MATCH($C621,'Shultis Faw'!$A$2:$A$26,1))+($C621-INDEX('Shultis Faw'!$A$2:$A$26,MATCH($C621,'Shultis Faw'!$A$2:$A$26,1)))*(INDEX('Shultis Faw'!$D$2:$D$26,MATCH($C621,'Shultis Faw'!$A$2:$A$26,1)+1)-INDEX('Shultis Faw'!$D$2:$D$26,MATCH($C621,'Shultis Faw'!$A$2:$A$26,1)))/(INDEX('Shultis Faw'!$A$2:$A$26,MATCH($C621,'Shultis Faw'!$A$2:$A$26,1)+1)-INDEX('Shultis Faw'!$A$2:$A$26,MATCH($C621,'Shultis Faw'!$A$2:$A$26,1))),$C621*'Shultis Faw'!$D$2/'Shultis Faw'!$A$2)</f>
        <v>1.766</v>
      </c>
      <c r="K621" s="83">
        <f>_xlfn.IFNA(INDEX('Shultis Faw'!$B$2:$B$26,MATCH($C621,'Shultis Faw'!$A$2:$A$26,1))+($C621-INDEX('Shultis Faw'!$A$2:$A$26,MATCH($C621,'Shultis Faw'!$A$2:$A$26,1)))*(INDEX('Shultis Faw'!$B$2:$B$26,MATCH($C621,'Shultis Faw'!$A$2:$A$26,1)+1)-INDEX('Shultis Faw'!$B$2:$B$26,MATCH($C621,'Shultis Faw'!$A$2:$A$26,1)))/(INDEX('Shultis Faw'!$A$2:$A$26,MATCH($C621,'Shultis Faw'!$A$2:$A$26,1)+1)-INDEX('Shultis Faw'!$A$2:$A$26,MATCH($C621,'Shultis Faw'!$A$2:$A$26,1))),$C621*'Shultis Faw'!$B$2/'Shultis Faw'!$A$2)</f>
        <v>-0.13500000000000001</v>
      </c>
      <c r="L621" s="83">
        <f>_xlfn.IFNA(INDEX('Shultis Faw'!$E$2:$E$26,MATCH($C621,'Shultis Faw'!$A$2:$A$26,1))+($C621-INDEX('Shultis Faw'!$A$2:$A$26,MATCH($C621,'Shultis Faw'!$A$2:$A$26,1)))*(INDEX('Shultis Faw'!$E$2:$E$26,MATCH($C621,'Shultis Faw'!$A$2:$A$26,1)+1)-INDEX('Shultis Faw'!$E$2:$E$26,MATCH($C621,'Shultis Faw'!$A$2:$A$26,1)))/(INDEX('Shultis Faw'!$A$2:$A$26,MATCH($C621,'Shultis Faw'!$A$2:$A$26,1)+1)-INDEX('Shultis Faw'!$A$2:$A$26,MATCH($C621,'Shultis Faw'!$A$2:$A$26,1))),$C621*'Shultis Faw'!$E$2/'Shultis Faw'!$A$2)</f>
        <v>5.4600000000000003E-2</v>
      </c>
      <c r="M621" s="83">
        <f>_xlfn.IFNA(INDEX('Shultis Faw'!$F$2:$F$26,MATCH($C621,'Shultis Faw'!$A$2:$A$26,1))+($C621-INDEX('Shultis Faw'!$A$2:$A$26,MATCH($C621,'Shultis Faw'!$A$2:$A$26,1)))*(INDEX('Shultis Faw'!$F$2:$F$26,MATCH($C621,'Shultis Faw'!$A$2:$A$26,1)+1)-INDEX('Shultis Faw'!$F$2:$F$26,MATCH($C621,'Shultis Faw'!$A$2:$A$26,1)))/(INDEX('Shultis Faw'!$A$2:$A$26,MATCH($C621,'Shultis Faw'!$A$2:$A$26,1)+1)-INDEX('Shultis Faw'!$A$2:$A$26,MATCH($C621,'Shultis Faw'!$A$2:$A$26,1))),$C621*'Shultis Faw'!$F$2/'Shultis Faw'!$A$2)</f>
        <v>14.33</v>
      </c>
      <c r="N621" s="83">
        <f>J621*(H621*'Externe blootstelling'!$D$23/2)^K621+L621*(TANH(((H621*'Externe blootstelling'!$D$23)/(2*M621))-2)-TANH(-2))/(1-TANH(-2))</f>
        <v>1.6800245912332954</v>
      </c>
      <c r="O621" s="83">
        <f>IF(N621=1,1+(I621-1)*H621*'Externe blootstelling'!$D$23/2,1+(I621-1)*(N621^(H621*'Externe blootstelling'!$D$23/2)-1)/(N621-1))</f>
        <v>3.4713263824653922</v>
      </c>
      <c r="P621" s="67">
        <f>G621*EXP(-H621*'Externe blootstelling'!$D$23/2)*O621</f>
        <v>2.8194344098999089E-5</v>
      </c>
      <c r="Q621" s="68"/>
    </row>
    <row r="622" spans="1:17" x14ac:dyDescent="0.2">
      <c r="A622" s="217"/>
      <c r="B622" s="64" t="s">
        <v>104</v>
      </c>
      <c r="C622" s="66">
        <v>0.51</v>
      </c>
      <c r="D622" s="66">
        <f t="shared" si="40"/>
        <v>8.1600000000000001E-14</v>
      </c>
      <c r="E622" s="66">
        <v>3.9999999999999998E-6</v>
      </c>
      <c r="F622" s="66">
        <f>_xlfn.IFNA(INDEX('hp (pSv cm2)'!$B$2:$B$52,MATCH($C622,'hp (pSv cm2)'!$A$2:$A$52,1))+($C622-INDEX('hp (pSv cm2)'!$A$2:$A$52,MATCH($C622,'hp (pSv cm2)'!$A$2:$A$52,1)))*(INDEX('hp (pSv cm2)'!$B$2:$B$52,MATCH($C622,'hp (pSv cm2)'!$A$2:$A$52,1)+1)-INDEX('hp (pSv cm2)'!$B$2:$B$52,MATCH($C622,'hp (pSv cm2)'!$A$2:$A$52,1)))/(INDEX('hp (pSv cm2)'!$A$2:$A$52,MATCH($C622,'hp (pSv cm2)'!$A$2:$A$52,1)+1)-INDEX('hp (pSv cm2)'!$A$2:$A$52,MATCH($C622,'hp (pSv cm2)'!$A$2:$A$52,1))),$C622*'hp (pSv cm2)'!$B$2/'hp (pSv cm2)'!$A$2)</f>
        <v>2.5140000000000002</v>
      </c>
      <c r="G622" s="67">
        <f t="shared" si="42"/>
        <v>1.0056E-5</v>
      </c>
      <c r="H622" s="83">
        <f>_xlfn.IFNA(0.997*(INDEX('Mass attenuation coefficients'!$B$2:$B$37,MATCH($C622,'Mass attenuation coefficients'!$A$2:$A$37,1))+($C622-INDEX('Mass attenuation coefficients'!$A$2:$A$37,MATCH($C622,'Mass attenuation coefficients'!$A$2:$A$37,1)))*(INDEX('Mass attenuation coefficients'!$B$2:$B$37,MATCH($C622,'Mass attenuation coefficients'!$A$2:$A$37,1)+1)-INDEX('Mass attenuation coefficients'!$B$2:$B$37,MATCH($C622,'Mass attenuation coefficients'!$A$2:$A$37,1)))/(INDEX('Mass attenuation coefficients'!$A$2:$A$37,MATCH($C622,'Mass attenuation coefficients'!$A$2:$A$37,1)+1)-INDEX('Mass attenuation coefficients'!$A$2:$A$37,MATCH($C622,'Mass attenuation coefficients'!$A$2:$A$37,1)))),0.997*$C622*'Mass attenuation coefficients'!$B$2/'Mass attenuation coefficients'!$A$2)</f>
        <v>9.5850583000000003E-2</v>
      </c>
      <c r="I622" s="83">
        <f>_xlfn.IFNA(INDEX('Shultis Faw'!$C$2:$C$26,MATCH($C622,'Shultis Faw'!$A$2:$A$26,1))+($C622-INDEX('Shultis Faw'!$A$2:$A$26,MATCH($C622,'Shultis Faw'!$A$2:$A$26,1)))*(INDEX('Shultis Faw'!$C$2:$C$26,MATCH($C622,'Shultis Faw'!$A$2:$A$26,1)+1)-INDEX('Shultis Faw'!$C$2:$C$26,MATCH($C622,'Shultis Faw'!$A$2:$A$26,1)))/(INDEX('Shultis Faw'!$A$2:$A$26,MATCH($C622,'Shultis Faw'!$A$2:$A$26,1)+1)-INDEX('Shultis Faw'!$A$2:$A$26,MATCH($C622,'Shultis Faw'!$A$2:$A$26,1))),$C622*'Shultis Faw'!$C$2/'Shultis Faw'!$A$2)</f>
        <v>2.4876999999999998</v>
      </c>
      <c r="J622" s="83">
        <f>_xlfn.IFNA(INDEX('Shultis Faw'!$D$2:$D$26,MATCH($C622,'Shultis Faw'!$A$2:$A$26,1))+($C622-INDEX('Shultis Faw'!$A$2:$A$26,MATCH($C622,'Shultis Faw'!$A$2:$A$26,1)))*(INDEX('Shultis Faw'!$D$2:$D$26,MATCH($C622,'Shultis Faw'!$A$2:$A$26,1)+1)-INDEX('Shultis Faw'!$D$2:$D$26,MATCH($C622,'Shultis Faw'!$A$2:$A$26,1)))/(INDEX('Shultis Faw'!$A$2:$A$26,MATCH($C622,'Shultis Faw'!$A$2:$A$26,1)+1)-INDEX('Shultis Faw'!$A$2:$A$26,MATCH($C622,'Shultis Faw'!$A$2:$A$26,1))),$C622*'Shultis Faw'!$D$2/'Shultis Faw'!$A$2)</f>
        <v>1.7573000000000001</v>
      </c>
      <c r="K622" s="83">
        <f>_xlfn.IFNA(INDEX('Shultis Faw'!$B$2:$B$26,MATCH($C622,'Shultis Faw'!$A$2:$A$26,1))+($C622-INDEX('Shultis Faw'!$A$2:$A$26,MATCH($C622,'Shultis Faw'!$A$2:$A$26,1)))*(INDEX('Shultis Faw'!$B$2:$B$26,MATCH($C622,'Shultis Faw'!$A$2:$A$26,1)+1)-INDEX('Shultis Faw'!$B$2:$B$26,MATCH($C622,'Shultis Faw'!$A$2:$A$26,1)))/(INDEX('Shultis Faw'!$A$2:$A$26,MATCH($C622,'Shultis Faw'!$A$2:$A$26,1)+1)-INDEX('Shultis Faw'!$A$2:$A$26,MATCH($C622,'Shultis Faw'!$A$2:$A$26,1))),$C622*'Shultis Faw'!$B$2/'Shultis Faw'!$A$2)</f>
        <v>-0.13390000000000002</v>
      </c>
      <c r="L622" s="83">
        <f>_xlfn.IFNA(INDEX('Shultis Faw'!$E$2:$E$26,MATCH($C622,'Shultis Faw'!$A$2:$A$26,1))+($C622-INDEX('Shultis Faw'!$A$2:$A$26,MATCH($C622,'Shultis Faw'!$A$2:$A$26,1)))*(INDEX('Shultis Faw'!$E$2:$E$26,MATCH($C622,'Shultis Faw'!$A$2:$A$26,1)+1)-INDEX('Shultis Faw'!$E$2:$E$26,MATCH($C622,'Shultis Faw'!$A$2:$A$26,1)))/(INDEX('Shultis Faw'!$A$2:$A$26,MATCH($C622,'Shultis Faw'!$A$2:$A$26,1)+1)-INDEX('Shultis Faw'!$A$2:$A$26,MATCH($C622,'Shultis Faw'!$A$2:$A$26,1))),$C622*'Shultis Faw'!$E$2/'Shultis Faw'!$A$2)</f>
        <v>5.4170000000000003E-2</v>
      </c>
      <c r="M622" s="83">
        <f>_xlfn.IFNA(INDEX('Shultis Faw'!$F$2:$F$26,MATCH($C622,'Shultis Faw'!$A$2:$A$26,1))+($C622-INDEX('Shultis Faw'!$A$2:$A$26,MATCH($C622,'Shultis Faw'!$A$2:$A$26,1)))*(INDEX('Shultis Faw'!$F$2:$F$26,MATCH($C622,'Shultis Faw'!$A$2:$A$26,1)+1)-INDEX('Shultis Faw'!$F$2:$F$26,MATCH($C622,'Shultis Faw'!$A$2:$A$26,1)))/(INDEX('Shultis Faw'!$A$2:$A$26,MATCH($C622,'Shultis Faw'!$A$2:$A$26,1)+1)-INDEX('Shultis Faw'!$A$2:$A$26,MATCH($C622,'Shultis Faw'!$A$2:$A$26,1))),$C622*'Shultis Faw'!$F$2/'Shultis Faw'!$A$2)</f>
        <v>14.32</v>
      </c>
      <c r="N622" s="83">
        <f>J622*(H622*'Externe blootstelling'!$D$23/2)^K622+L622*(TANH(((H622*'Externe blootstelling'!$D$23)/(2*M622))-2)-TANH(-2))/(1-TANH(-2))</f>
        <v>1.6741244507878512</v>
      </c>
      <c r="O622" s="83">
        <f>IF(N622=1,1+(I622-1)*H622*'Externe blootstelling'!$D$23/2,1+(I622-1)*(N622^(H622*'Externe blootstelling'!$D$23/2)-1)/(N622-1))</f>
        <v>3.4225732253435317</v>
      </c>
      <c r="P622" s="67">
        <f>G622*EXP(-H622*'Externe blootstelling'!$D$23/2)*O622</f>
        <v>8.1727332456827627E-6</v>
      </c>
      <c r="Q622" s="68"/>
    </row>
    <row r="623" spans="1:17" x14ac:dyDescent="0.2">
      <c r="A623" s="217"/>
      <c r="B623" s="64" t="s">
        <v>104</v>
      </c>
      <c r="C623" s="66">
        <v>0.5232</v>
      </c>
      <c r="D623" s="66">
        <f t="shared" ref="D623:D686" si="43">C623*1000000*1.6E-19</f>
        <v>8.3711999999999997E-14</v>
      </c>
      <c r="E623" s="66">
        <v>1.4E-5</v>
      </c>
      <c r="F623" s="66">
        <f>_xlfn.IFNA(INDEX('hp (pSv cm2)'!$B$2:$B$52,MATCH($C623,'hp (pSv cm2)'!$A$2:$A$52,1))+($C623-INDEX('hp (pSv cm2)'!$A$2:$A$52,MATCH($C623,'hp (pSv cm2)'!$A$2:$A$52,1)))*(INDEX('hp (pSv cm2)'!$B$2:$B$52,MATCH($C623,'hp (pSv cm2)'!$A$2:$A$52,1)+1)-INDEX('hp (pSv cm2)'!$B$2:$B$52,MATCH($C623,'hp (pSv cm2)'!$A$2:$A$52,1)))/(INDEX('hp (pSv cm2)'!$A$2:$A$52,MATCH($C623,'hp (pSv cm2)'!$A$2:$A$52,1)+1)-INDEX('hp (pSv cm2)'!$A$2:$A$52,MATCH($C623,'hp (pSv cm2)'!$A$2:$A$52,1))),$C623*'hp (pSv cm2)'!$B$2/'hp (pSv cm2)'!$A$2)</f>
        <v>2.5720800000000001</v>
      </c>
      <c r="G623" s="67">
        <f t="shared" ref="G623:G654" si="44">F623*E623</f>
        <v>3.6009120000000002E-5</v>
      </c>
      <c r="H623" s="83">
        <f>_xlfn.IFNA(0.997*(INDEX('Mass attenuation coefficients'!$B$2:$B$37,MATCH($C623,'Mass attenuation coefficients'!$A$2:$A$37,1))+($C623-INDEX('Mass attenuation coefficients'!$A$2:$A$37,MATCH($C623,'Mass attenuation coefficients'!$A$2:$A$37,1)))*(INDEX('Mass attenuation coefficients'!$B$2:$B$37,MATCH($C623,'Mass attenuation coefficients'!$A$2:$A$37,1)+1)-INDEX('Mass attenuation coefficients'!$B$2:$B$37,MATCH($C623,'Mass attenuation coefficients'!$A$2:$A$37,1)))/(INDEX('Mass attenuation coefficients'!$A$2:$A$37,MATCH($C623,'Mass attenuation coefficients'!$A$2:$A$37,1)+1)-INDEX('Mass attenuation coefficients'!$A$2:$A$37,MATCH($C623,'Mass attenuation coefficients'!$A$2:$A$37,1)))),0.997*$C623*'Mass attenuation coefficients'!$B$2/'Mass attenuation coefficients'!$A$2)</f>
        <v>9.4888557759999992E-2</v>
      </c>
      <c r="I623" s="83">
        <f>_xlfn.IFNA(INDEX('Shultis Faw'!$C$2:$C$26,MATCH($C623,'Shultis Faw'!$A$2:$A$26,1))+($C623-INDEX('Shultis Faw'!$A$2:$A$26,MATCH($C623,'Shultis Faw'!$A$2:$A$26,1)))*(INDEX('Shultis Faw'!$C$2:$C$26,MATCH($C623,'Shultis Faw'!$A$2:$A$26,1)+1)-INDEX('Shultis Faw'!$C$2:$C$26,MATCH($C623,'Shultis Faw'!$A$2:$A$26,1)))/(INDEX('Shultis Faw'!$A$2:$A$26,MATCH($C623,'Shultis Faw'!$A$2:$A$26,1)+1)-INDEX('Shultis Faw'!$A$2:$A$26,MATCH($C623,'Shultis Faw'!$A$2:$A$26,1))),$C623*'Shultis Faw'!$C$2/'Shultis Faw'!$A$2)</f>
        <v>2.4714640000000001</v>
      </c>
      <c r="J623" s="83">
        <f>_xlfn.IFNA(INDEX('Shultis Faw'!$D$2:$D$26,MATCH($C623,'Shultis Faw'!$A$2:$A$26,1))+($C623-INDEX('Shultis Faw'!$A$2:$A$26,MATCH($C623,'Shultis Faw'!$A$2:$A$26,1)))*(INDEX('Shultis Faw'!$D$2:$D$26,MATCH($C623,'Shultis Faw'!$A$2:$A$26,1)+1)-INDEX('Shultis Faw'!$D$2:$D$26,MATCH($C623,'Shultis Faw'!$A$2:$A$26,1)))/(INDEX('Shultis Faw'!$A$2:$A$26,MATCH($C623,'Shultis Faw'!$A$2:$A$26,1)+1)-INDEX('Shultis Faw'!$A$2:$A$26,MATCH($C623,'Shultis Faw'!$A$2:$A$26,1))),$C623*'Shultis Faw'!$D$2/'Shultis Faw'!$A$2)</f>
        <v>1.745816</v>
      </c>
      <c r="K623" s="83">
        <f>_xlfn.IFNA(INDEX('Shultis Faw'!$B$2:$B$26,MATCH($C623,'Shultis Faw'!$A$2:$A$26,1))+($C623-INDEX('Shultis Faw'!$A$2:$A$26,MATCH($C623,'Shultis Faw'!$A$2:$A$26,1)))*(INDEX('Shultis Faw'!$B$2:$B$26,MATCH($C623,'Shultis Faw'!$A$2:$A$26,1)+1)-INDEX('Shultis Faw'!$B$2:$B$26,MATCH($C623,'Shultis Faw'!$A$2:$A$26,1)))/(INDEX('Shultis Faw'!$A$2:$A$26,MATCH($C623,'Shultis Faw'!$A$2:$A$26,1)+1)-INDEX('Shultis Faw'!$A$2:$A$26,MATCH($C623,'Shultis Faw'!$A$2:$A$26,1))),$C623*'Shultis Faw'!$B$2/'Shultis Faw'!$A$2)</f>
        <v>-0.13244800000000001</v>
      </c>
      <c r="L623" s="83">
        <f>_xlfn.IFNA(INDEX('Shultis Faw'!$E$2:$E$26,MATCH($C623,'Shultis Faw'!$A$2:$A$26,1))+($C623-INDEX('Shultis Faw'!$A$2:$A$26,MATCH($C623,'Shultis Faw'!$A$2:$A$26,1)))*(INDEX('Shultis Faw'!$E$2:$E$26,MATCH($C623,'Shultis Faw'!$A$2:$A$26,1)+1)-INDEX('Shultis Faw'!$E$2:$E$26,MATCH($C623,'Shultis Faw'!$A$2:$A$26,1)))/(INDEX('Shultis Faw'!$A$2:$A$26,MATCH($C623,'Shultis Faw'!$A$2:$A$26,1)+1)-INDEX('Shultis Faw'!$A$2:$A$26,MATCH($C623,'Shultis Faw'!$A$2:$A$26,1))),$C623*'Shultis Faw'!$E$2/'Shultis Faw'!$A$2)</f>
        <v>5.3602400000000001E-2</v>
      </c>
      <c r="M623" s="83">
        <f>_xlfn.IFNA(INDEX('Shultis Faw'!$F$2:$F$26,MATCH($C623,'Shultis Faw'!$A$2:$A$26,1))+($C623-INDEX('Shultis Faw'!$A$2:$A$26,MATCH($C623,'Shultis Faw'!$A$2:$A$26,1)))*(INDEX('Shultis Faw'!$F$2:$F$26,MATCH($C623,'Shultis Faw'!$A$2:$A$26,1)+1)-INDEX('Shultis Faw'!$F$2:$F$26,MATCH($C623,'Shultis Faw'!$A$2:$A$26,1)))/(INDEX('Shultis Faw'!$A$2:$A$26,MATCH($C623,'Shultis Faw'!$A$2:$A$26,1)+1)-INDEX('Shultis Faw'!$A$2:$A$26,MATCH($C623,'Shultis Faw'!$A$2:$A$26,1))),$C623*'Shultis Faw'!$F$2/'Shultis Faw'!$A$2)</f>
        <v>14.306800000000001</v>
      </c>
      <c r="N623" s="83">
        <f>J623*(H623*'Externe blootstelling'!$D$23/2)^K623+L623*(TANH(((H623*'Externe blootstelling'!$D$23)/(2*M623))-2)-TANH(-2))/(1-TANH(-2))</f>
        <v>1.6662824463782815</v>
      </c>
      <c r="O623" s="83">
        <f>IF(N623=1,1+(I623-1)*H623*'Externe blootstelling'!$D$23/2,1+(I623-1)*(N623^(H623*'Externe blootstelling'!$D$23/2)-1)/(N623-1))</f>
        <v>3.3593868259239015</v>
      </c>
      <c r="P623" s="67">
        <f>G623*EXP(-H623*'Externe blootstelling'!$D$23/2)*O623</f>
        <v>2.9142638384391461E-5</v>
      </c>
      <c r="Q623" s="68"/>
    </row>
    <row r="624" spans="1:17" x14ac:dyDescent="0.2">
      <c r="A624" s="217"/>
      <c r="B624" s="64" t="s">
        <v>104</v>
      </c>
      <c r="C624" s="66">
        <v>0.52761099999999994</v>
      </c>
      <c r="D624" s="66">
        <f t="shared" si="43"/>
        <v>8.4417759999999982E-14</v>
      </c>
      <c r="E624" s="66">
        <v>7.2999999999999996E-4</v>
      </c>
      <c r="F624" s="66">
        <f>_xlfn.IFNA(INDEX('hp (pSv cm2)'!$B$2:$B$52,MATCH($C624,'hp (pSv cm2)'!$A$2:$A$52,1))+($C624-INDEX('hp (pSv cm2)'!$A$2:$A$52,MATCH($C624,'hp (pSv cm2)'!$A$2:$A$52,1)))*(INDEX('hp (pSv cm2)'!$B$2:$B$52,MATCH($C624,'hp (pSv cm2)'!$A$2:$A$52,1)+1)-INDEX('hp (pSv cm2)'!$B$2:$B$52,MATCH($C624,'hp (pSv cm2)'!$A$2:$A$52,1)))/(INDEX('hp (pSv cm2)'!$A$2:$A$52,MATCH($C624,'hp (pSv cm2)'!$A$2:$A$52,1)+1)-INDEX('hp (pSv cm2)'!$A$2:$A$52,MATCH($C624,'hp (pSv cm2)'!$A$2:$A$52,1))),$C624*'hp (pSv cm2)'!$B$2/'hp (pSv cm2)'!$A$2)</f>
        <v>2.5914883999999998</v>
      </c>
      <c r="G624" s="67">
        <f t="shared" si="44"/>
        <v>1.8917865319999997E-3</v>
      </c>
      <c r="H624" s="83">
        <f>_xlfn.IFNA(0.997*(INDEX('Mass attenuation coefficients'!$B$2:$B$37,MATCH($C624,'Mass attenuation coefficients'!$A$2:$A$37,1))+($C624-INDEX('Mass attenuation coefficients'!$A$2:$A$37,MATCH($C624,'Mass attenuation coefficients'!$A$2:$A$37,1)))*(INDEX('Mass attenuation coefficients'!$B$2:$B$37,MATCH($C624,'Mass attenuation coefficients'!$A$2:$A$37,1)+1)-INDEX('Mass attenuation coefficients'!$B$2:$B$37,MATCH($C624,'Mass attenuation coefficients'!$A$2:$A$37,1)))/(INDEX('Mass attenuation coefficients'!$A$2:$A$37,MATCH($C624,'Mass attenuation coefficients'!$A$2:$A$37,1)+1)-INDEX('Mass attenuation coefficients'!$A$2:$A$37,MATCH($C624,'Mass attenuation coefficients'!$A$2:$A$37,1)))),0.997*$C624*'Mass attenuation coefficients'!$B$2/'Mass attenuation coefficients'!$A$2)</f>
        <v>9.4567080992300004E-2</v>
      </c>
      <c r="I624" s="83">
        <f>_xlfn.IFNA(INDEX('Shultis Faw'!$C$2:$C$26,MATCH($C624,'Shultis Faw'!$A$2:$A$26,1))+($C624-INDEX('Shultis Faw'!$A$2:$A$26,MATCH($C624,'Shultis Faw'!$A$2:$A$26,1)))*(INDEX('Shultis Faw'!$C$2:$C$26,MATCH($C624,'Shultis Faw'!$A$2:$A$26,1)+1)-INDEX('Shultis Faw'!$C$2:$C$26,MATCH($C624,'Shultis Faw'!$A$2:$A$26,1)))/(INDEX('Shultis Faw'!$A$2:$A$26,MATCH($C624,'Shultis Faw'!$A$2:$A$26,1)+1)-INDEX('Shultis Faw'!$A$2:$A$26,MATCH($C624,'Shultis Faw'!$A$2:$A$26,1))),$C624*'Shultis Faw'!$C$2/'Shultis Faw'!$A$2)</f>
        <v>2.46603847</v>
      </c>
      <c r="J624" s="83">
        <f>_xlfn.IFNA(INDEX('Shultis Faw'!$D$2:$D$26,MATCH($C624,'Shultis Faw'!$A$2:$A$26,1))+($C624-INDEX('Shultis Faw'!$A$2:$A$26,MATCH($C624,'Shultis Faw'!$A$2:$A$26,1)))*(INDEX('Shultis Faw'!$D$2:$D$26,MATCH($C624,'Shultis Faw'!$A$2:$A$26,1)+1)-INDEX('Shultis Faw'!$D$2:$D$26,MATCH($C624,'Shultis Faw'!$A$2:$A$26,1)))/(INDEX('Shultis Faw'!$A$2:$A$26,MATCH($C624,'Shultis Faw'!$A$2:$A$26,1)+1)-INDEX('Shultis Faw'!$A$2:$A$26,MATCH($C624,'Shultis Faw'!$A$2:$A$26,1))),$C624*'Shultis Faw'!$D$2/'Shultis Faw'!$A$2)</f>
        <v>1.7419784300000001</v>
      </c>
      <c r="K624" s="83">
        <f>_xlfn.IFNA(INDEX('Shultis Faw'!$B$2:$B$26,MATCH($C624,'Shultis Faw'!$A$2:$A$26,1))+($C624-INDEX('Shultis Faw'!$A$2:$A$26,MATCH($C624,'Shultis Faw'!$A$2:$A$26,1)))*(INDEX('Shultis Faw'!$B$2:$B$26,MATCH($C624,'Shultis Faw'!$A$2:$A$26,1)+1)-INDEX('Shultis Faw'!$B$2:$B$26,MATCH($C624,'Shultis Faw'!$A$2:$A$26,1)))/(INDEX('Shultis Faw'!$A$2:$A$26,MATCH($C624,'Shultis Faw'!$A$2:$A$26,1)+1)-INDEX('Shultis Faw'!$A$2:$A$26,MATCH($C624,'Shultis Faw'!$A$2:$A$26,1))),$C624*'Shultis Faw'!$B$2/'Shultis Faw'!$A$2)</f>
        <v>-0.13196279000000002</v>
      </c>
      <c r="L624" s="83">
        <f>_xlfn.IFNA(INDEX('Shultis Faw'!$E$2:$E$26,MATCH($C624,'Shultis Faw'!$A$2:$A$26,1))+($C624-INDEX('Shultis Faw'!$A$2:$A$26,MATCH($C624,'Shultis Faw'!$A$2:$A$26,1)))*(INDEX('Shultis Faw'!$E$2:$E$26,MATCH($C624,'Shultis Faw'!$A$2:$A$26,1)+1)-INDEX('Shultis Faw'!$E$2:$E$26,MATCH($C624,'Shultis Faw'!$A$2:$A$26,1)))/(INDEX('Shultis Faw'!$A$2:$A$26,MATCH($C624,'Shultis Faw'!$A$2:$A$26,1)+1)-INDEX('Shultis Faw'!$A$2:$A$26,MATCH($C624,'Shultis Faw'!$A$2:$A$26,1))),$C624*'Shultis Faw'!$E$2/'Shultis Faw'!$A$2)</f>
        <v>5.3412727000000007E-2</v>
      </c>
      <c r="M624" s="83">
        <f>_xlfn.IFNA(INDEX('Shultis Faw'!$F$2:$F$26,MATCH($C624,'Shultis Faw'!$A$2:$A$26,1))+($C624-INDEX('Shultis Faw'!$A$2:$A$26,MATCH($C624,'Shultis Faw'!$A$2:$A$26,1)))*(INDEX('Shultis Faw'!$F$2:$F$26,MATCH($C624,'Shultis Faw'!$A$2:$A$26,1)+1)-INDEX('Shultis Faw'!$F$2:$F$26,MATCH($C624,'Shultis Faw'!$A$2:$A$26,1)))/(INDEX('Shultis Faw'!$A$2:$A$26,MATCH($C624,'Shultis Faw'!$A$2:$A$26,1)+1)-INDEX('Shultis Faw'!$A$2:$A$26,MATCH($C624,'Shultis Faw'!$A$2:$A$26,1))),$C624*'Shultis Faw'!$F$2/'Shultis Faw'!$A$2)</f>
        <v>14.302389</v>
      </c>
      <c r="N624" s="83">
        <f>J624*(H624*'Externe blootstelling'!$D$23/2)^K624+L624*(TANH(((H624*'Externe blootstelling'!$D$23)/(2*M624))-2)-TANH(-2))/(1-TANH(-2))</f>
        <v>1.6636482552885379</v>
      </c>
      <c r="O624" s="83">
        <f>IF(N624=1,1+(I624-1)*H624*'Externe blootstelling'!$D$23/2,1+(I624-1)*(N624^(H624*'Externe blootstelling'!$D$23/2)-1)/(N624-1))</f>
        <v>3.3385643534790779</v>
      </c>
      <c r="P624" s="67">
        <f>G624*EXP(-H624*'Externe blootstelling'!$D$23/2)*O624</f>
        <v>1.5289118955801706E-3</v>
      </c>
      <c r="Q624" s="68"/>
    </row>
    <row r="625" spans="1:17" x14ac:dyDescent="0.2">
      <c r="A625" s="217"/>
      <c r="B625" s="64" t="s">
        <v>104</v>
      </c>
      <c r="C625" s="66">
        <v>0.53289999999999993</v>
      </c>
      <c r="D625" s="66">
        <f t="shared" si="43"/>
        <v>8.5263999999999981E-14</v>
      </c>
      <c r="E625" s="66">
        <v>1.4E-5</v>
      </c>
      <c r="F625" s="66">
        <f>_xlfn.IFNA(INDEX('hp (pSv cm2)'!$B$2:$B$52,MATCH($C625,'hp (pSv cm2)'!$A$2:$A$52,1))+($C625-INDEX('hp (pSv cm2)'!$A$2:$A$52,MATCH($C625,'hp (pSv cm2)'!$A$2:$A$52,1)))*(INDEX('hp (pSv cm2)'!$B$2:$B$52,MATCH($C625,'hp (pSv cm2)'!$A$2:$A$52,1)+1)-INDEX('hp (pSv cm2)'!$B$2:$B$52,MATCH($C625,'hp (pSv cm2)'!$A$2:$A$52,1)))/(INDEX('hp (pSv cm2)'!$A$2:$A$52,MATCH($C625,'hp (pSv cm2)'!$A$2:$A$52,1)+1)-INDEX('hp (pSv cm2)'!$A$2:$A$52,MATCH($C625,'hp (pSv cm2)'!$A$2:$A$52,1))),$C625*'hp (pSv cm2)'!$B$2/'hp (pSv cm2)'!$A$2)</f>
        <v>2.61476</v>
      </c>
      <c r="G625" s="67">
        <f t="shared" si="44"/>
        <v>3.6606639999999999E-5</v>
      </c>
      <c r="H625" s="83">
        <f>_xlfn.IFNA(0.997*(INDEX('Mass attenuation coefficients'!$B$2:$B$37,MATCH($C625,'Mass attenuation coefficients'!$A$2:$A$37,1))+($C625-INDEX('Mass attenuation coefficients'!$A$2:$A$37,MATCH($C625,'Mass attenuation coefficients'!$A$2:$A$37,1)))*(INDEX('Mass attenuation coefficients'!$B$2:$B$37,MATCH($C625,'Mass attenuation coefficients'!$A$2:$A$37,1)+1)-INDEX('Mass attenuation coefficients'!$B$2:$B$37,MATCH($C625,'Mass attenuation coefficients'!$A$2:$A$37,1)))/(INDEX('Mass attenuation coefficients'!$A$2:$A$37,MATCH($C625,'Mass attenuation coefficients'!$A$2:$A$37,1)+1)-INDEX('Mass attenuation coefficients'!$A$2:$A$37,MATCH($C625,'Mass attenuation coefficients'!$A$2:$A$37,1)))),0.997*$C625*'Mass attenuation coefficients'!$B$2/'Mass attenuation coefficients'!$A$2)</f>
        <v>9.4181614970000008E-2</v>
      </c>
      <c r="I625" s="83">
        <f>_xlfn.IFNA(INDEX('Shultis Faw'!$C$2:$C$26,MATCH($C625,'Shultis Faw'!$A$2:$A$26,1))+($C625-INDEX('Shultis Faw'!$A$2:$A$26,MATCH($C625,'Shultis Faw'!$A$2:$A$26,1)))*(INDEX('Shultis Faw'!$C$2:$C$26,MATCH($C625,'Shultis Faw'!$A$2:$A$26,1)+1)-INDEX('Shultis Faw'!$C$2:$C$26,MATCH($C625,'Shultis Faw'!$A$2:$A$26,1)))/(INDEX('Shultis Faw'!$A$2:$A$26,MATCH($C625,'Shultis Faw'!$A$2:$A$26,1)+1)-INDEX('Shultis Faw'!$A$2:$A$26,MATCH($C625,'Shultis Faw'!$A$2:$A$26,1))),$C625*'Shultis Faw'!$C$2/'Shultis Faw'!$A$2)</f>
        <v>2.459533</v>
      </c>
      <c r="J625" s="83">
        <f>_xlfn.IFNA(INDEX('Shultis Faw'!$D$2:$D$26,MATCH($C625,'Shultis Faw'!$A$2:$A$26,1))+($C625-INDEX('Shultis Faw'!$A$2:$A$26,MATCH($C625,'Shultis Faw'!$A$2:$A$26,1)))*(INDEX('Shultis Faw'!$D$2:$D$26,MATCH($C625,'Shultis Faw'!$A$2:$A$26,1)+1)-INDEX('Shultis Faw'!$D$2:$D$26,MATCH($C625,'Shultis Faw'!$A$2:$A$26,1)))/(INDEX('Shultis Faw'!$A$2:$A$26,MATCH($C625,'Shultis Faw'!$A$2:$A$26,1)+1)-INDEX('Shultis Faw'!$A$2:$A$26,MATCH($C625,'Shultis Faw'!$A$2:$A$26,1))),$C625*'Shultis Faw'!$D$2/'Shultis Faw'!$A$2)</f>
        <v>1.7373770000000002</v>
      </c>
      <c r="K625" s="83">
        <f>_xlfn.IFNA(INDEX('Shultis Faw'!$B$2:$B$26,MATCH($C625,'Shultis Faw'!$A$2:$A$26,1))+($C625-INDEX('Shultis Faw'!$A$2:$A$26,MATCH($C625,'Shultis Faw'!$A$2:$A$26,1)))*(INDEX('Shultis Faw'!$B$2:$B$26,MATCH($C625,'Shultis Faw'!$A$2:$A$26,1)+1)-INDEX('Shultis Faw'!$B$2:$B$26,MATCH($C625,'Shultis Faw'!$A$2:$A$26,1)))/(INDEX('Shultis Faw'!$A$2:$A$26,MATCH($C625,'Shultis Faw'!$A$2:$A$26,1)+1)-INDEX('Shultis Faw'!$A$2:$A$26,MATCH($C625,'Shultis Faw'!$A$2:$A$26,1))),$C625*'Shultis Faw'!$B$2/'Shultis Faw'!$A$2)</f>
        <v>-0.13138100000000003</v>
      </c>
      <c r="L625" s="83">
        <f>_xlfn.IFNA(INDEX('Shultis Faw'!$E$2:$E$26,MATCH($C625,'Shultis Faw'!$A$2:$A$26,1))+($C625-INDEX('Shultis Faw'!$A$2:$A$26,MATCH($C625,'Shultis Faw'!$A$2:$A$26,1)))*(INDEX('Shultis Faw'!$E$2:$E$26,MATCH($C625,'Shultis Faw'!$A$2:$A$26,1)+1)-INDEX('Shultis Faw'!$E$2:$E$26,MATCH($C625,'Shultis Faw'!$A$2:$A$26,1)))/(INDEX('Shultis Faw'!$A$2:$A$26,MATCH($C625,'Shultis Faw'!$A$2:$A$26,1)+1)-INDEX('Shultis Faw'!$A$2:$A$26,MATCH($C625,'Shultis Faw'!$A$2:$A$26,1))),$C625*'Shultis Faw'!$E$2/'Shultis Faw'!$A$2)</f>
        <v>5.3185300000000005E-2</v>
      </c>
      <c r="M625" s="83">
        <f>_xlfn.IFNA(INDEX('Shultis Faw'!$F$2:$F$26,MATCH($C625,'Shultis Faw'!$A$2:$A$26,1))+($C625-INDEX('Shultis Faw'!$A$2:$A$26,MATCH($C625,'Shultis Faw'!$A$2:$A$26,1)))*(INDEX('Shultis Faw'!$F$2:$F$26,MATCH($C625,'Shultis Faw'!$A$2:$A$26,1)+1)-INDEX('Shultis Faw'!$F$2:$F$26,MATCH($C625,'Shultis Faw'!$A$2:$A$26,1)))/(INDEX('Shultis Faw'!$A$2:$A$26,MATCH($C625,'Shultis Faw'!$A$2:$A$26,1)+1)-INDEX('Shultis Faw'!$A$2:$A$26,MATCH($C625,'Shultis Faw'!$A$2:$A$26,1))),$C625*'Shultis Faw'!$F$2/'Shultis Faw'!$A$2)</f>
        <v>14.2971</v>
      </c>
      <c r="N625" s="83">
        <f>J625*(H625*'Externe blootstelling'!$D$23/2)^K625+L625*(TANH(((H625*'Externe blootstelling'!$D$23)/(2*M625))-2)-TANH(-2))/(1-TANH(-2))</f>
        <v>1.660480715031599</v>
      </c>
      <c r="O625" s="83">
        <f>IF(N625=1,1+(I625-1)*H625*'Externe blootstelling'!$D$23/2,1+(I625-1)*(N625^(H625*'Externe blootstelling'!$D$23/2)-1)/(N625-1))</f>
        <v>3.3137881510737461</v>
      </c>
      <c r="P625" s="67">
        <f>G625*EXP(-H625*'Externe blootstelling'!$D$23/2)*O625</f>
        <v>2.9535632378409784E-5</v>
      </c>
      <c r="Q625" s="68"/>
    </row>
    <row r="626" spans="1:17" x14ac:dyDescent="0.2">
      <c r="A626" s="217"/>
      <c r="B626" s="64" t="s">
        <v>104</v>
      </c>
      <c r="C626" s="66">
        <v>0.53760000000000008</v>
      </c>
      <c r="D626" s="66">
        <f t="shared" si="43"/>
        <v>8.6016000000000009E-14</v>
      </c>
      <c r="E626" s="66">
        <v>2.0999999999999999E-5</v>
      </c>
      <c r="F626" s="66">
        <f>_xlfn.IFNA(INDEX('hp (pSv cm2)'!$B$2:$B$52,MATCH($C626,'hp (pSv cm2)'!$A$2:$A$52,1))+($C626-INDEX('hp (pSv cm2)'!$A$2:$A$52,MATCH($C626,'hp (pSv cm2)'!$A$2:$A$52,1)))*(INDEX('hp (pSv cm2)'!$B$2:$B$52,MATCH($C626,'hp (pSv cm2)'!$A$2:$A$52,1)+1)-INDEX('hp (pSv cm2)'!$B$2:$B$52,MATCH($C626,'hp (pSv cm2)'!$A$2:$A$52,1)))/(INDEX('hp (pSv cm2)'!$A$2:$A$52,MATCH($C626,'hp (pSv cm2)'!$A$2:$A$52,1)+1)-INDEX('hp (pSv cm2)'!$A$2:$A$52,MATCH($C626,'hp (pSv cm2)'!$A$2:$A$52,1))),$C626*'hp (pSv cm2)'!$B$2/'hp (pSv cm2)'!$A$2)</f>
        <v>2.6354400000000004</v>
      </c>
      <c r="G626" s="67">
        <f t="shared" si="44"/>
        <v>5.5344240000000007E-5</v>
      </c>
      <c r="H626" s="83">
        <f>_xlfn.IFNA(0.997*(INDEX('Mass attenuation coefficients'!$B$2:$B$37,MATCH($C626,'Mass attenuation coefficients'!$A$2:$A$37,1))+($C626-INDEX('Mass attenuation coefficients'!$A$2:$A$37,MATCH($C626,'Mass attenuation coefficients'!$A$2:$A$37,1)))*(INDEX('Mass attenuation coefficients'!$B$2:$B$37,MATCH($C626,'Mass attenuation coefficients'!$A$2:$A$37,1)+1)-INDEX('Mass attenuation coefficients'!$B$2:$B$37,MATCH($C626,'Mass attenuation coefficients'!$A$2:$A$37,1)))/(INDEX('Mass attenuation coefficients'!$A$2:$A$37,MATCH($C626,'Mass attenuation coefficients'!$A$2:$A$37,1)+1)-INDEX('Mass attenuation coefficients'!$A$2:$A$37,MATCH($C626,'Mass attenuation coefficients'!$A$2:$A$37,1)))),0.997*$C626*'Mass attenuation coefficients'!$B$2/'Mass attenuation coefficients'!$A$2)</f>
        <v>9.3839075679999981E-2</v>
      </c>
      <c r="I626" s="83">
        <f>_xlfn.IFNA(INDEX('Shultis Faw'!$C$2:$C$26,MATCH($C626,'Shultis Faw'!$A$2:$A$26,1))+($C626-INDEX('Shultis Faw'!$A$2:$A$26,MATCH($C626,'Shultis Faw'!$A$2:$A$26,1)))*(INDEX('Shultis Faw'!$C$2:$C$26,MATCH($C626,'Shultis Faw'!$A$2:$A$26,1)+1)-INDEX('Shultis Faw'!$C$2:$C$26,MATCH($C626,'Shultis Faw'!$A$2:$A$26,1)))/(INDEX('Shultis Faw'!$A$2:$A$26,MATCH($C626,'Shultis Faw'!$A$2:$A$26,1)+1)-INDEX('Shultis Faw'!$A$2:$A$26,MATCH($C626,'Shultis Faw'!$A$2:$A$26,1))),$C626*'Shultis Faw'!$C$2/'Shultis Faw'!$A$2)</f>
        <v>2.4537519999999997</v>
      </c>
      <c r="J626" s="83">
        <f>_xlfn.IFNA(INDEX('Shultis Faw'!$D$2:$D$26,MATCH($C626,'Shultis Faw'!$A$2:$A$26,1))+($C626-INDEX('Shultis Faw'!$A$2:$A$26,MATCH($C626,'Shultis Faw'!$A$2:$A$26,1)))*(INDEX('Shultis Faw'!$D$2:$D$26,MATCH($C626,'Shultis Faw'!$A$2:$A$26,1)+1)-INDEX('Shultis Faw'!$D$2:$D$26,MATCH($C626,'Shultis Faw'!$A$2:$A$26,1)))/(INDEX('Shultis Faw'!$A$2:$A$26,MATCH($C626,'Shultis Faw'!$A$2:$A$26,1)+1)-INDEX('Shultis Faw'!$A$2:$A$26,MATCH($C626,'Shultis Faw'!$A$2:$A$26,1))),$C626*'Shultis Faw'!$D$2/'Shultis Faw'!$A$2)</f>
        <v>1.7332879999999999</v>
      </c>
      <c r="K626" s="83">
        <f>_xlfn.IFNA(INDEX('Shultis Faw'!$B$2:$B$26,MATCH($C626,'Shultis Faw'!$A$2:$A$26,1))+($C626-INDEX('Shultis Faw'!$A$2:$A$26,MATCH($C626,'Shultis Faw'!$A$2:$A$26,1)))*(INDEX('Shultis Faw'!$B$2:$B$26,MATCH($C626,'Shultis Faw'!$A$2:$A$26,1)+1)-INDEX('Shultis Faw'!$B$2:$B$26,MATCH($C626,'Shultis Faw'!$A$2:$A$26,1)))/(INDEX('Shultis Faw'!$A$2:$A$26,MATCH($C626,'Shultis Faw'!$A$2:$A$26,1)+1)-INDEX('Shultis Faw'!$A$2:$A$26,MATCH($C626,'Shultis Faw'!$A$2:$A$26,1))),$C626*'Shultis Faw'!$B$2/'Shultis Faw'!$A$2)</f>
        <v>-0.13086400000000001</v>
      </c>
      <c r="L626" s="83">
        <f>_xlfn.IFNA(INDEX('Shultis Faw'!$E$2:$E$26,MATCH($C626,'Shultis Faw'!$A$2:$A$26,1))+($C626-INDEX('Shultis Faw'!$A$2:$A$26,MATCH($C626,'Shultis Faw'!$A$2:$A$26,1)))*(INDEX('Shultis Faw'!$E$2:$E$26,MATCH($C626,'Shultis Faw'!$A$2:$A$26,1)+1)-INDEX('Shultis Faw'!$E$2:$E$26,MATCH($C626,'Shultis Faw'!$A$2:$A$26,1)))/(INDEX('Shultis Faw'!$A$2:$A$26,MATCH($C626,'Shultis Faw'!$A$2:$A$26,1)+1)-INDEX('Shultis Faw'!$A$2:$A$26,MATCH($C626,'Shultis Faw'!$A$2:$A$26,1))),$C626*'Shultis Faw'!$E$2/'Shultis Faw'!$A$2)</f>
        <v>5.2983199999999994E-2</v>
      </c>
      <c r="M626" s="83">
        <f>_xlfn.IFNA(INDEX('Shultis Faw'!$F$2:$F$26,MATCH($C626,'Shultis Faw'!$A$2:$A$26,1))+($C626-INDEX('Shultis Faw'!$A$2:$A$26,MATCH($C626,'Shultis Faw'!$A$2:$A$26,1)))*(INDEX('Shultis Faw'!$F$2:$F$26,MATCH($C626,'Shultis Faw'!$A$2:$A$26,1)+1)-INDEX('Shultis Faw'!$F$2:$F$26,MATCH($C626,'Shultis Faw'!$A$2:$A$26,1)))/(INDEX('Shultis Faw'!$A$2:$A$26,MATCH($C626,'Shultis Faw'!$A$2:$A$26,1)+1)-INDEX('Shultis Faw'!$A$2:$A$26,MATCH($C626,'Shultis Faw'!$A$2:$A$26,1))),$C626*'Shultis Faw'!$F$2/'Shultis Faw'!$A$2)</f>
        <v>14.292400000000001</v>
      </c>
      <c r="N626" s="83">
        <f>J626*(H626*'Externe blootstelling'!$D$23/2)^K626+L626*(TANH(((H626*'Externe blootstelling'!$D$23)/(2*M626))-2)-TANH(-2))/(1-TANH(-2))</f>
        <v>1.6576576680516004</v>
      </c>
      <c r="O626" s="83">
        <f>IF(N626=1,1+(I626-1)*H626*'Externe blootstelling'!$D$23/2,1+(I626-1)*(N626^(H626*'Externe blootstelling'!$D$23/2)-1)/(N626-1))</f>
        <v>3.291944630237611</v>
      </c>
      <c r="P626" s="67">
        <f>G626*EXP(-H626*'Externe blootstelling'!$D$23/2)*O626</f>
        <v>4.458800678426329E-5</v>
      </c>
      <c r="Q626" s="68"/>
    </row>
    <row r="627" spans="1:17" x14ac:dyDescent="0.2">
      <c r="A627" s="217"/>
      <c r="B627" s="64" t="s">
        <v>104</v>
      </c>
      <c r="C627" s="66">
        <v>0.54198999999999997</v>
      </c>
      <c r="D627" s="66">
        <f t="shared" si="43"/>
        <v>8.6718399999999993E-14</v>
      </c>
      <c r="E627" s="66">
        <v>1.4E-5</v>
      </c>
      <c r="F627" s="66">
        <f>_xlfn.IFNA(INDEX('hp (pSv cm2)'!$B$2:$B$52,MATCH($C627,'hp (pSv cm2)'!$A$2:$A$52,1))+($C627-INDEX('hp (pSv cm2)'!$A$2:$A$52,MATCH($C627,'hp (pSv cm2)'!$A$2:$A$52,1)))*(INDEX('hp (pSv cm2)'!$B$2:$B$52,MATCH($C627,'hp (pSv cm2)'!$A$2:$A$52,1)+1)-INDEX('hp (pSv cm2)'!$B$2:$B$52,MATCH($C627,'hp (pSv cm2)'!$A$2:$A$52,1)))/(INDEX('hp (pSv cm2)'!$A$2:$A$52,MATCH($C627,'hp (pSv cm2)'!$A$2:$A$52,1)+1)-INDEX('hp (pSv cm2)'!$A$2:$A$52,MATCH($C627,'hp (pSv cm2)'!$A$2:$A$52,1))),$C627*'hp (pSv cm2)'!$B$2/'hp (pSv cm2)'!$A$2)</f>
        <v>2.6547559999999999</v>
      </c>
      <c r="G627" s="67">
        <f t="shared" si="44"/>
        <v>3.7166584E-5</v>
      </c>
      <c r="H627" s="83">
        <f>_xlfn.IFNA(0.997*(INDEX('Mass attenuation coefficients'!$B$2:$B$37,MATCH($C627,'Mass attenuation coefficients'!$A$2:$A$37,1))+($C627-INDEX('Mass attenuation coefficients'!$A$2:$A$37,MATCH($C627,'Mass attenuation coefficients'!$A$2:$A$37,1)))*(INDEX('Mass attenuation coefficients'!$B$2:$B$37,MATCH($C627,'Mass attenuation coefficients'!$A$2:$A$37,1)+1)-INDEX('Mass attenuation coefficients'!$B$2:$B$37,MATCH($C627,'Mass attenuation coefficients'!$A$2:$A$37,1)))/(INDEX('Mass attenuation coefficients'!$A$2:$A$37,MATCH($C627,'Mass attenuation coefficients'!$A$2:$A$37,1)+1)-INDEX('Mass attenuation coefficients'!$A$2:$A$37,MATCH($C627,'Mass attenuation coefficients'!$A$2:$A$37,1)))),0.997*$C627*'Mass attenuation coefficients'!$B$2/'Mass attenuation coefficients'!$A$2)</f>
        <v>9.351912940700001E-2</v>
      </c>
      <c r="I627" s="83">
        <f>_xlfn.IFNA(INDEX('Shultis Faw'!$C$2:$C$26,MATCH($C627,'Shultis Faw'!$A$2:$A$26,1))+($C627-INDEX('Shultis Faw'!$A$2:$A$26,MATCH($C627,'Shultis Faw'!$A$2:$A$26,1)))*(INDEX('Shultis Faw'!$C$2:$C$26,MATCH($C627,'Shultis Faw'!$A$2:$A$26,1)+1)-INDEX('Shultis Faw'!$C$2:$C$26,MATCH($C627,'Shultis Faw'!$A$2:$A$26,1)))/(INDEX('Shultis Faw'!$A$2:$A$26,MATCH($C627,'Shultis Faw'!$A$2:$A$26,1)+1)-INDEX('Shultis Faw'!$A$2:$A$26,MATCH($C627,'Shultis Faw'!$A$2:$A$26,1))),$C627*'Shultis Faw'!$C$2/'Shultis Faw'!$A$2)</f>
        <v>2.4483522999999998</v>
      </c>
      <c r="J627" s="83">
        <f>_xlfn.IFNA(INDEX('Shultis Faw'!$D$2:$D$26,MATCH($C627,'Shultis Faw'!$A$2:$A$26,1))+($C627-INDEX('Shultis Faw'!$A$2:$A$26,MATCH($C627,'Shultis Faw'!$A$2:$A$26,1)))*(INDEX('Shultis Faw'!$D$2:$D$26,MATCH($C627,'Shultis Faw'!$A$2:$A$26,1)+1)-INDEX('Shultis Faw'!$D$2:$D$26,MATCH($C627,'Shultis Faw'!$A$2:$A$26,1)))/(INDEX('Shultis Faw'!$A$2:$A$26,MATCH($C627,'Shultis Faw'!$A$2:$A$26,1)+1)-INDEX('Shultis Faw'!$A$2:$A$26,MATCH($C627,'Shultis Faw'!$A$2:$A$26,1))),$C627*'Shultis Faw'!$D$2/'Shultis Faw'!$A$2)</f>
        <v>1.7294687</v>
      </c>
      <c r="K627" s="83">
        <f>_xlfn.IFNA(INDEX('Shultis Faw'!$B$2:$B$26,MATCH($C627,'Shultis Faw'!$A$2:$A$26,1))+($C627-INDEX('Shultis Faw'!$A$2:$A$26,MATCH($C627,'Shultis Faw'!$A$2:$A$26,1)))*(INDEX('Shultis Faw'!$B$2:$B$26,MATCH($C627,'Shultis Faw'!$A$2:$A$26,1)+1)-INDEX('Shultis Faw'!$B$2:$B$26,MATCH($C627,'Shultis Faw'!$A$2:$A$26,1)))/(INDEX('Shultis Faw'!$A$2:$A$26,MATCH($C627,'Shultis Faw'!$A$2:$A$26,1)+1)-INDEX('Shultis Faw'!$A$2:$A$26,MATCH($C627,'Shultis Faw'!$A$2:$A$26,1))),$C627*'Shultis Faw'!$B$2/'Shultis Faw'!$A$2)</f>
        <v>-0.1303811</v>
      </c>
      <c r="L627" s="83">
        <f>_xlfn.IFNA(INDEX('Shultis Faw'!$E$2:$E$26,MATCH($C627,'Shultis Faw'!$A$2:$A$26,1))+($C627-INDEX('Shultis Faw'!$A$2:$A$26,MATCH($C627,'Shultis Faw'!$A$2:$A$26,1)))*(INDEX('Shultis Faw'!$E$2:$E$26,MATCH($C627,'Shultis Faw'!$A$2:$A$26,1)+1)-INDEX('Shultis Faw'!$E$2:$E$26,MATCH($C627,'Shultis Faw'!$A$2:$A$26,1)))/(INDEX('Shultis Faw'!$A$2:$A$26,MATCH($C627,'Shultis Faw'!$A$2:$A$26,1)+1)-INDEX('Shultis Faw'!$A$2:$A$26,MATCH($C627,'Shultis Faw'!$A$2:$A$26,1))),$C627*'Shultis Faw'!$E$2/'Shultis Faw'!$A$2)</f>
        <v>5.2794430000000003E-2</v>
      </c>
      <c r="M627" s="83">
        <f>_xlfn.IFNA(INDEX('Shultis Faw'!$F$2:$F$26,MATCH($C627,'Shultis Faw'!$A$2:$A$26,1))+($C627-INDEX('Shultis Faw'!$A$2:$A$26,MATCH($C627,'Shultis Faw'!$A$2:$A$26,1)))*(INDEX('Shultis Faw'!$F$2:$F$26,MATCH($C627,'Shultis Faw'!$A$2:$A$26,1)+1)-INDEX('Shultis Faw'!$F$2:$F$26,MATCH($C627,'Shultis Faw'!$A$2:$A$26,1)))/(INDEX('Shultis Faw'!$A$2:$A$26,MATCH($C627,'Shultis Faw'!$A$2:$A$26,1)+1)-INDEX('Shultis Faw'!$A$2:$A$26,MATCH($C627,'Shultis Faw'!$A$2:$A$26,1))),$C627*'Shultis Faw'!$F$2/'Shultis Faw'!$A$2)</f>
        <v>14.28801</v>
      </c>
      <c r="N627" s="83">
        <f>J627*(H627*'Externe blootstelling'!$D$23/2)^K627+L627*(TANH(((H627*'Externe blootstelling'!$D$23)/(2*M627))-2)-TANH(-2))/(1-TANH(-2))</f>
        <v>1.6550138056816219</v>
      </c>
      <c r="O627" s="83">
        <f>IF(N627=1,1+(I627-1)*H627*'Externe blootstelling'!$D$23/2,1+(I627-1)*(N627^(H627*'Externe blootstelling'!$D$23/2)-1)/(N627-1))</f>
        <v>3.2716883275994642</v>
      </c>
      <c r="P627" s="67">
        <f>G627*EXP(-H627*'Externe blootstelling'!$D$23/2)*O627</f>
        <v>2.9902117482795959E-5</v>
      </c>
      <c r="Q627" s="68"/>
    </row>
    <row r="628" spans="1:17" x14ac:dyDescent="0.2">
      <c r="A628" s="217"/>
      <c r="B628" s="64" t="s">
        <v>104</v>
      </c>
      <c r="C628" s="66">
        <v>0.54579999999999995</v>
      </c>
      <c r="D628" s="66">
        <f t="shared" si="43"/>
        <v>8.7327999999999999E-14</v>
      </c>
      <c r="E628" s="66">
        <v>1.1000000000000001E-5</v>
      </c>
      <c r="F628" s="66">
        <f>_xlfn.IFNA(INDEX('hp (pSv cm2)'!$B$2:$B$52,MATCH($C628,'hp (pSv cm2)'!$A$2:$A$52,1))+($C628-INDEX('hp (pSv cm2)'!$A$2:$A$52,MATCH($C628,'hp (pSv cm2)'!$A$2:$A$52,1)))*(INDEX('hp (pSv cm2)'!$B$2:$B$52,MATCH($C628,'hp (pSv cm2)'!$A$2:$A$52,1)+1)-INDEX('hp (pSv cm2)'!$B$2:$B$52,MATCH($C628,'hp (pSv cm2)'!$A$2:$A$52,1)))/(INDEX('hp (pSv cm2)'!$A$2:$A$52,MATCH($C628,'hp (pSv cm2)'!$A$2:$A$52,1)+1)-INDEX('hp (pSv cm2)'!$A$2:$A$52,MATCH($C628,'hp (pSv cm2)'!$A$2:$A$52,1))),$C628*'hp (pSv cm2)'!$B$2/'hp (pSv cm2)'!$A$2)</f>
        <v>2.6715200000000001</v>
      </c>
      <c r="G628" s="67">
        <f t="shared" si="44"/>
        <v>2.9386720000000006E-5</v>
      </c>
      <c r="H628" s="83">
        <f>_xlfn.IFNA(0.997*(INDEX('Mass attenuation coefficients'!$B$2:$B$37,MATCH($C628,'Mass attenuation coefficients'!$A$2:$A$37,1))+($C628-INDEX('Mass attenuation coefficients'!$A$2:$A$37,MATCH($C628,'Mass attenuation coefficients'!$A$2:$A$37,1)))*(INDEX('Mass attenuation coefficients'!$B$2:$B$37,MATCH($C628,'Mass attenuation coefficients'!$A$2:$A$37,1)+1)-INDEX('Mass attenuation coefficients'!$B$2:$B$37,MATCH($C628,'Mass attenuation coefficients'!$A$2:$A$37,1)))/(INDEX('Mass attenuation coefficients'!$A$2:$A$37,MATCH($C628,'Mass attenuation coefficients'!$A$2:$A$37,1)+1)-INDEX('Mass attenuation coefficients'!$A$2:$A$37,MATCH($C628,'Mass attenuation coefficients'!$A$2:$A$37,1)))),0.997*$C628*'Mass attenuation coefficients'!$B$2/'Mass attenuation coefficients'!$A$2)</f>
        <v>9.3241453939999996E-2</v>
      </c>
      <c r="I628" s="83">
        <f>_xlfn.IFNA(INDEX('Shultis Faw'!$C$2:$C$26,MATCH($C628,'Shultis Faw'!$A$2:$A$26,1))+($C628-INDEX('Shultis Faw'!$A$2:$A$26,MATCH($C628,'Shultis Faw'!$A$2:$A$26,1)))*(INDEX('Shultis Faw'!$C$2:$C$26,MATCH($C628,'Shultis Faw'!$A$2:$A$26,1)+1)-INDEX('Shultis Faw'!$C$2:$C$26,MATCH($C628,'Shultis Faw'!$A$2:$A$26,1)))/(INDEX('Shultis Faw'!$A$2:$A$26,MATCH($C628,'Shultis Faw'!$A$2:$A$26,1)+1)-INDEX('Shultis Faw'!$A$2:$A$26,MATCH($C628,'Shultis Faw'!$A$2:$A$26,1))),$C628*'Shultis Faw'!$C$2/'Shultis Faw'!$A$2)</f>
        <v>2.4436659999999999</v>
      </c>
      <c r="J628" s="83">
        <f>_xlfn.IFNA(INDEX('Shultis Faw'!$D$2:$D$26,MATCH($C628,'Shultis Faw'!$A$2:$A$26,1))+($C628-INDEX('Shultis Faw'!$A$2:$A$26,MATCH($C628,'Shultis Faw'!$A$2:$A$26,1)))*(INDEX('Shultis Faw'!$D$2:$D$26,MATCH($C628,'Shultis Faw'!$A$2:$A$26,1)+1)-INDEX('Shultis Faw'!$D$2:$D$26,MATCH($C628,'Shultis Faw'!$A$2:$A$26,1)))/(INDEX('Shultis Faw'!$A$2:$A$26,MATCH($C628,'Shultis Faw'!$A$2:$A$26,1)+1)-INDEX('Shultis Faw'!$A$2:$A$26,MATCH($C628,'Shultis Faw'!$A$2:$A$26,1))),$C628*'Shultis Faw'!$D$2/'Shultis Faw'!$A$2)</f>
        <v>1.726154</v>
      </c>
      <c r="K628" s="83">
        <f>_xlfn.IFNA(INDEX('Shultis Faw'!$B$2:$B$26,MATCH($C628,'Shultis Faw'!$A$2:$A$26,1))+($C628-INDEX('Shultis Faw'!$A$2:$A$26,MATCH($C628,'Shultis Faw'!$A$2:$A$26,1)))*(INDEX('Shultis Faw'!$B$2:$B$26,MATCH($C628,'Shultis Faw'!$A$2:$A$26,1)+1)-INDEX('Shultis Faw'!$B$2:$B$26,MATCH($C628,'Shultis Faw'!$A$2:$A$26,1)))/(INDEX('Shultis Faw'!$A$2:$A$26,MATCH($C628,'Shultis Faw'!$A$2:$A$26,1)+1)-INDEX('Shultis Faw'!$A$2:$A$26,MATCH($C628,'Shultis Faw'!$A$2:$A$26,1))),$C628*'Shultis Faw'!$B$2/'Shultis Faw'!$A$2)</f>
        <v>-0.12996200000000002</v>
      </c>
      <c r="L628" s="83">
        <f>_xlfn.IFNA(INDEX('Shultis Faw'!$E$2:$E$26,MATCH($C628,'Shultis Faw'!$A$2:$A$26,1))+($C628-INDEX('Shultis Faw'!$A$2:$A$26,MATCH($C628,'Shultis Faw'!$A$2:$A$26,1)))*(INDEX('Shultis Faw'!$E$2:$E$26,MATCH($C628,'Shultis Faw'!$A$2:$A$26,1)+1)-INDEX('Shultis Faw'!$E$2:$E$26,MATCH($C628,'Shultis Faw'!$A$2:$A$26,1)))/(INDEX('Shultis Faw'!$A$2:$A$26,MATCH($C628,'Shultis Faw'!$A$2:$A$26,1)+1)-INDEX('Shultis Faw'!$A$2:$A$26,MATCH($C628,'Shultis Faw'!$A$2:$A$26,1))),$C628*'Shultis Faw'!$E$2/'Shultis Faw'!$A$2)</f>
        <v>5.26306E-2</v>
      </c>
      <c r="M628" s="83">
        <f>_xlfn.IFNA(INDEX('Shultis Faw'!$F$2:$F$26,MATCH($C628,'Shultis Faw'!$A$2:$A$26,1))+($C628-INDEX('Shultis Faw'!$A$2:$A$26,MATCH($C628,'Shultis Faw'!$A$2:$A$26,1)))*(INDEX('Shultis Faw'!$F$2:$F$26,MATCH($C628,'Shultis Faw'!$A$2:$A$26,1)+1)-INDEX('Shultis Faw'!$F$2:$F$26,MATCH($C628,'Shultis Faw'!$A$2:$A$26,1)))/(INDEX('Shultis Faw'!$A$2:$A$26,MATCH($C628,'Shultis Faw'!$A$2:$A$26,1)+1)-INDEX('Shultis Faw'!$A$2:$A$26,MATCH($C628,'Shultis Faw'!$A$2:$A$26,1))),$C628*'Shultis Faw'!$F$2/'Shultis Faw'!$A$2)</f>
        <v>14.2842</v>
      </c>
      <c r="N628" s="83">
        <f>J628*(H628*'Externe blootstelling'!$D$23/2)^K628+L628*(TANH(((H628*'Externe blootstelling'!$D$23)/(2*M628))-2)-TANH(-2))/(1-TANH(-2))</f>
        <v>1.6527137528431062</v>
      </c>
      <c r="O628" s="83">
        <f>IF(N628=1,1+(I628-1)*H628*'Externe blootstelling'!$D$23/2,1+(I628-1)*(N628^(H628*'Externe blootstelling'!$D$23/2)-1)/(N628-1))</f>
        <v>3.2542222232368774</v>
      </c>
      <c r="P628" s="67">
        <f>G628*EXP(-H628*'Externe blootstelling'!$D$23/2)*O628</f>
        <v>2.3614817172487739E-5</v>
      </c>
      <c r="Q628" s="68"/>
    </row>
    <row r="629" spans="1:17" x14ac:dyDescent="0.2">
      <c r="A629" s="217"/>
      <c r="B629" s="64" t="s">
        <v>104</v>
      </c>
      <c r="C629" s="66">
        <v>0.57410000000000005</v>
      </c>
      <c r="D629" s="66">
        <f t="shared" si="43"/>
        <v>9.1856E-14</v>
      </c>
      <c r="E629" s="66">
        <v>1.1000000000000001E-5</v>
      </c>
      <c r="F629" s="66">
        <f>_xlfn.IFNA(INDEX('hp (pSv cm2)'!$B$2:$B$52,MATCH($C629,'hp (pSv cm2)'!$A$2:$A$52,1))+($C629-INDEX('hp (pSv cm2)'!$A$2:$A$52,MATCH($C629,'hp (pSv cm2)'!$A$2:$A$52,1)))*(INDEX('hp (pSv cm2)'!$B$2:$B$52,MATCH($C629,'hp (pSv cm2)'!$A$2:$A$52,1)+1)-INDEX('hp (pSv cm2)'!$B$2:$B$52,MATCH($C629,'hp (pSv cm2)'!$A$2:$A$52,1)))/(INDEX('hp (pSv cm2)'!$A$2:$A$52,MATCH($C629,'hp (pSv cm2)'!$A$2:$A$52,1)+1)-INDEX('hp (pSv cm2)'!$A$2:$A$52,MATCH($C629,'hp (pSv cm2)'!$A$2:$A$52,1))),$C629*'hp (pSv cm2)'!$B$2/'hp (pSv cm2)'!$A$2)</f>
        <v>2.7960400000000005</v>
      </c>
      <c r="G629" s="67">
        <f t="shared" si="44"/>
        <v>3.0756440000000012E-5</v>
      </c>
      <c r="H629" s="83">
        <f>_xlfn.IFNA(0.997*(INDEX('Mass attenuation coefficients'!$B$2:$B$37,MATCH($C629,'Mass attenuation coefficients'!$A$2:$A$37,1))+($C629-INDEX('Mass attenuation coefficients'!$A$2:$A$37,MATCH($C629,'Mass attenuation coefficients'!$A$2:$A$37,1)))*(INDEX('Mass attenuation coefficients'!$B$2:$B$37,MATCH($C629,'Mass attenuation coefficients'!$A$2:$A$37,1)+1)-INDEX('Mass attenuation coefficients'!$B$2:$B$37,MATCH($C629,'Mass attenuation coefficients'!$A$2:$A$37,1)))/(INDEX('Mass attenuation coefficients'!$A$2:$A$37,MATCH($C629,'Mass attenuation coefficients'!$A$2:$A$37,1)+1)-INDEX('Mass attenuation coefficients'!$A$2:$A$37,MATCH($C629,'Mass attenuation coefficients'!$A$2:$A$37,1)))),0.997*$C629*'Mass attenuation coefficients'!$B$2/'Mass attenuation coefficients'!$A$2)</f>
        <v>9.1178930129999988E-2</v>
      </c>
      <c r="I629" s="83">
        <f>_xlfn.IFNA(INDEX('Shultis Faw'!$C$2:$C$26,MATCH($C629,'Shultis Faw'!$A$2:$A$26,1))+($C629-INDEX('Shultis Faw'!$A$2:$A$26,MATCH($C629,'Shultis Faw'!$A$2:$A$26,1)))*(INDEX('Shultis Faw'!$C$2:$C$26,MATCH($C629,'Shultis Faw'!$A$2:$A$26,1)+1)-INDEX('Shultis Faw'!$C$2:$C$26,MATCH($C629,'Shultis Faw'!$A$2:$A$26,1)))/(INDEX('Shultis Faw'!$A$2:$A$26,MATCH($C629,'Shultis Faw'!$A$2:$A$26,1)+1)-INDEX('Shultis Faw'!$A$2:$A$26,MATCH($C629,'Shultis Faw'!$A$2:$A$26,1))),$C629*'Shultis Faw'!$C$2/'Shultis Faw'!$A$2)</f>
        <v>2.4088569999999998</v>
      </c>
      <c r="J629" s="83">
        <f>_xlfn.IFNA(INDEX('Shultis Faw'!$D$2:$D$26,MATCH($C629,'Shultis Faw'!$A$2:$A$26,1))+($C629-INDEX('Shultis Faw'!$A$2:$A$26,MATCH($C629,'Shultis Faw'!$A$2:$A$26,1)))*(INDEX('Shultis Faw'!$D$2:$D$26,MATCH($C629,'Shultis Faw'!$A$2:$A$26,1)+1)-INDEX('Shultis Faw'!$D$2:$D$26,MATCH($C629,'Shultis Faw'!$A$2:$A$26,1)))/(INDEX('Shultis Faw'!$A$2:$A$26,MATCH($C629,'Shultis Faw'!$A$2:$A$26,1)+1)-INDEX('Shultis Faw'!$A$2:$A$26,MATCH($C629,'Shultis Faw'!$A$2:$A$26,1))),$C629*'Shultis Faw'!$D$2/'Shultis Faw'!$A$2)</f>
        <v>1.701533</v>
      </c>
      <c r="K629" s="83">
        <f>_xlfn.IFNA(INDEX('Shultis Faw'!$B$2:$B$26,MATCH($C629,'Shultis Faw'!$A$2:$A$26,1))+($C629-INDEX('Shultis Faw'!$A$2:$A$26,MATCH($C629,'Shultis Faw'!$A$2:$A$26,1)))*(INDEX('Shultis Faw'!$B$2:$B$26,MATCH($C629,'Shultis Faw'!$A$2:$A$26,1)+1)-INDEX('Shultis Faw'!$B$2:$B$26,MATCH($C629,'Shultis Faw'!$A$2:$A$26,1)))/(INDEX('Shultis Faw'!$A$2:$A$26,MATCH($C629,'Shultis Faw'!$A$2:$A$26,1)+1)-INDEX('Shultis Faw'!$A$2:$A$26,MATCH($C629,'Shultis Faw'!$A$2:$A$26,1))),$C629*'Shultis Faw'!$B$2/'Shultis Faw'!$A$2)</f>
        <v>-0.12684899999999999</v>
      </c>
      <c r="L629" s="83">
        <f>_xlfn.IFNA(INDEX('Shultis Faw'!$E$2:$E$26,MATCH($C629,'Shultis Faw'!$A$2:$A$26,1))+($C629-INDEX('Shultis Faw'!$A$2:$A$26,MATCH($C629,'Shultis Faw'!$A$2:$A$26,1)))*(INDEX('Shultis Faw'!$E$2:$E$26,MATCH($C629,'Shultis Faw'!$A$2:$A$26,1)+1)-INDEX('Shultis Faw'!$E$2:$E$26,MATCH($C629,'Shultis Faw'!$A$2:$A$26,1)))/(INDEX('Shultis Faw'!$A$2:$A$26,MATCH($C629,'Shultis Faw'!$A$2:$A$26,1)+1)-INDEX('Shultis Faw'!$A$2:$A$26,MATCH($C629,'Shultis Faw'!$A$2:$A$26,1))),$C629*'Shultis Faw'!$E$2/'Shultis Faw'!$A$2)</f>
        <v>5.1413699999999993E-2</v>
      </c>
      <c r="M629" s="83">
        <f>_xlfn.IFNA(INDEX('Shultis Faw'!$F$2:$F$26,MATCH($C629,'Shultis Faw'!$A$2:$A$26,1))+($C629-INDEX('Shultis Faw'!$A$2:$A$26,MATCH($C629,'Shultis Faw'!$A$2:$A$26,1)))*(INDEX('Shultis Faw'!$F$2:$F$26,MATCH($C629,'Shultis Faw'!$A$2:$A$26,1)+1)-INDEX('Shultis Faw'!$F$2:$F$26,MATCH($C629,'Shultis Faw'!$A$2:$A$26,1)))/(INDEX('Shultis Faw'!$A$2:$A$26,MATCH($C629,'Shultis Faw'!$A$2:$A$26,1)+1)-INDEX('Shultis Faw'!$A$2:$A$26,MATCH($C629,'Shultis Faw'!$A$2:$A$26,1))),$C629*'Shultis Faw'!$F$2/'Shultis Faw'!$A$2)</f>
        <v>14.2559</v>
      </c>
      <c r="N629" s="83">
        <f>J629*(H629*'Externe blootstelling'!$D$23/2)^K629+L629*(TANH(((H629*'Externe blootstelling'!$D$23)/(2*M629))-2)-TANH(-2))/(1-TANH(-2))</f>
        <v>1.6354695677490505</v>
      </c>
      <c r="O629" s="83">
        <f>IF(N629=1,1+(I629-1)*H629*'Externe blootstelling'!$D$23/2,1+(I629-1)*(N629^(H629*'Externe blootstelling'!$D$23/2)-1)/(N629-1))</f>
        <v>3.1277444048505894</v>
      </c>
      <c r="P629" s="67">
        <f>G629*EXP(-H629*'Externe blootstelling'!$D$23/2)*O629</f>
        <v>2.45013338422466E-5</v>
      </c>
      <c r="Q629" s="68"/>
    </row>
    <row r="630" spans="1:17" x14ac:dyDescent="0.2">
      <c r="A630" s="217"/>
      <c r="B630" s="64" t="s">
        <v>104</v>
      </c>
      <c r="C630" s="66">
        <v>0.5796</v>
      </c>
      <c r="D630" s="66">
        <f t="shared" si="43"/>
        <v>9.2735999999999992E-14</v>
      </c>
      <c r="E630" s="66">
        <v>1.4E-5</v>
      </c>
      <c r="F630" s="66">
        <f>_xlfn.IFNA(INDEX('hp (pSv cm2)'!$B$2:$B$52,MATCH($C630,'hp (pSv cm2)'!$A$2:$A$52,1))+($C630-INDEX('hp (pSv cm2)'!$A$2:$A$52,MATCH($C630,'hp (pSv cm2)'!$A$2:$A$52,1)))*(INDEX('hp (pSv cm2)'!$B$2:$B$52,MATCH($C630,'hp (pSv cm2)'!$A$2:$A$52,1)+1)-INDEX('hp (pSv cm2)'!$B$2:$B$52,MATCH($C630,'hp (pSv cm2)'!$A$2:$A$52,1)))/(INDEX('hp (pSv cm2)'!$A$2:$A$52,MATCH($C630,'hp (pSv cm2)'!$A$2:$A$52,1)+1)-INDEX('hp (pSv cm2)'!$A$2:$A$52,MATCH($C630,'hp (pSv cm2)'!$A$2:$A$52,1))),$C630*'hp (pSv cm2)'!$B$2/'hp (pSv cm2)'!$A$2)</f>
        <v>2.8202400000000001</v>
      </c>
      <c r="G630" s="67">
        <f t="shared" si="44"/>
        <v>3.9483359999999999E-5</v>
      </c>
      <c r="H630" s="83">
        <f>_xlfn.IFNA(0.997*(INDEX('Mass attenuation coefficients'!$B$2:$B$37,MATCH($C630,'Mass attenuation coefficients'!$A$2:$A$37,1))+($C630-INDEX('Mass attenuation coefficients'!$A$2:$A$37,MATCH($C630,'Mass attenuation coefficients'!$A$2:$A$37,1)))*(INDEX('Mass attenuation coefficients'!$B$2:$B$37,MATCH($C630,'Mass attenuation coefficients'!$A$2:$A$37,1)+1)-INDEX('Mass attenuation coefficients'!$B$2:$B$37,MATCH($C630,'Mass attenuation coefficients'!$A$2:$A$37,1)))/(INDEX('Mass attenuation coefficients'!$A$2:$A$37,MATCH($C630,'Mass attenuation coefficients'!$A$2:$A$37,1)+1)-INDEX('Mass attenuation coefficients'!$A$2:$A$37,MATCH($C630,'Mass attenuation coefficients'!$A$2:$A$37,1)))),0.997*$C630*'Mass attenuation coefficients'!$B$2/'Mass attenuation coefficients'!$A$2)</f>
        <v>9.0778086280000003E-2</v>
      </c>
      <c r="I630" s="83">
        <f>_xlfn.IFNA(INDEX('Shultis Faw'!$C$2:$C$26,MATCH($C630,'Shultis Faw'!$A$2:$A$26,1))+($C630-INDEX('Shultis Faw'!$A$2:$A$26,MATCH($C630,'Shultis Faw'!$A$2:$A$26,1)))*(INDEX('Shultis Faw'!$C$2:$C$26,MATCH($C630,'Shultis Faw'!$A$2:$A$26,1)+1)-INDEX('Shultis Faw'!$C$2:$C$26,MATCH($C630,'Shultis Faw'!$A$2:$A$26,1)))/(INDEX('Shultis Faw'!$A$2:$A$26,MATCH($C630,'Shultis Faw'!$A$2:$A$26,1)+1)-INDEX('Shultis Faw'!$A$2:$A$26,MATCH($C630,'Shultis Faw'!$A$2:$A$26,1))),$C630*'Shultis Faw'!$C$2/'Shultis Faw'!$A$2)</f>
        <v>2.4020919999999997</v>
      </c>
      <c r="J630" s="83">
        <f>_xlfn.IFNA(INDEX('Shultis Faw'!$D$2:$D$26,MATCH($C630,'Shultis Faw'!$A$2:$A$26,1))+($C630-INDEX('Shultis Faw'!$A$2:$A$26,MATCH($C630,'Shultis Faw'!$A$2:$A$26,1)))*(INDEX('Shultis Faw'!$D$2:$D$26,MATCH($C630,'Shultis Faw'!$A$2:$A$26,1)+1)-INDEX('Shultis Faw'!$D$2:$D$26,MATCH($C630,'Shultis Faw'!$A$2:$A$26,1)))/(INDEX('Shultis Faw'!$A$2:$A$26,MATCH($C630,'Shultis Faw'!$A$2:$A$26,1)+1)-INDEX('Shultis Faw'!$A$2:$A$26,MATCH($C630,'Shultis Faw'!$A$2:$A$26,1))),$C630*'Shultis Faw'!$D$2/'Shultis Faw'!$A$2)</f>
        <v>1.6967479999999999</v>
      </c>
      <c r="K630" s="83">
        <f>_xlfn.IFNA(INDEX('Shultis Faw'!$B$2:$B$26,MATCH($C630,'Shultis Faw'!$A$2:$A$26,1))+($C630-INDEX('Shultis Faw'!$A$2:$A$26,MATCH($C630,'Shultis Faw'!$A$2:$A$26,1)))*(INDEX('Shultis Faw'!$B$2:$B$26,MATCH($C630,'Shultis Faw'!$A$2:$A$26,1)+1)-INDEX('Shultis Faw'!$B$2:$B$26,MATCH($C630,'Shultis Faw'!$A$2:$A$26,1)))/(INDEX('Shultis Faw'!$A$2:$A$26,MATCH($C630,'Shultis Faw'!$A$2:$A$26,1)+1)-INDEX('Shultis Faw'!$A$2:$A$26,MATCH($C630,'Shultis Faw'!$A$2:$A$26,1))),$C630*'Shultis Faw'!$B$2/'Shultis Faw'!$A$2)</f>
        <v>-0.126244</v>
      </c>
      <c r="L630" s="83">
        <f>_xlfn.IFNA(INDEX('Shultis Faw'!$E$2:$E$26,MATCH($C630,'Shultis Faw'!$A$2:$A$26,1))+($C630-INDEX('Shultis Faw'!$A$2:$A$26,MATCH($C630,'Shultis Faw'!$A$2:$A$26,1)))*(INDEX('Shultis Faw'!$E$2:$E$26,MATCH($C630,'Shultis Faw'!$A$2:$A$26,1)+1)-INDEX('Shultis Faw'!$E$2:$E$26,MATCH($C630,'Shultis Faw'!$A$2:$A$26,1)))/(INDEX('Shultis Faw'!$A$2:$A$26,MATCH($C630,'Shultis Faw'!$A$2:$A$26,1)+1)-INDEX('Shultis Faw'!$A$2:$A$26,MATCH($C630,'Shultis Faw'!$A$2:$A$26,1))),$C630*'Shultis Faw'!$E$2/'Shultis Faw'!$A$2)</f>
        <v>5.1177199999999999E-2</v>
      </c>
      <c r="M630" s="83">
        <f>_xlfn.IFNA(INDEX('Shultis Faw'!$F$2:$F$26,MATCH($C630,'Shultis Faw'!$A$2:$A$26,1))+($C630-INDEX('Shultis Faw'!$A$2:$A$26,MATCH($C630,'Shultis Faw'!$A$2:$A$26,1)))*(INDEX('Shultis Faw'!$F$2:$F$26,MATCH($C630,'Shultis Faw'!$A$2:$A$26,1)+1)-INDEX('Shultis Faw'!$F$2:$F$26,MATCH($C630,'Shultis Faw'!$A$2:$A$26,1)))/(INDEX('Shultis Faw'!$A$2:$A$26,MATCH($C630,'Shultis Faw'!$A$2:$A$26,1)+1)-INDEX('Shultis Faw'!$A$2:$A$26,MATCH($C630,'Shultis Faw'!$A$2:$A$26,1))),$C630*'Shultis Faw'!$F$2/'Shultis Faw'!$A$2)</f>
        <v>14.250400000000001</v>
      </c>
      <c r="N630" s="83">
        <f>J630*(H630*'Externe blootstelling'!$D$23/2)^K630+L630*(TANH(((H630*'Externe blootstelling'!$D$23)/(2*M630))-2)-TANH(-2))/(1-TANH(-2))</f>
        <v>1.6320855301624611</v>
      </c>
      <c r="O630" s="83">
        <f>IF(N630=1,1+(I630-1)*H630*'Externe blootstelling'!$D$23/2,1+(I630-1)*(N630^(H630*'Externe blootstelling'!$D$23/2)-1)/(N630-1))</f>
        <v>3.1038183059002042</v>
      </c>
      <c r="P630" s="67">
        <f>G630*EXP(-H630*'Externe blootstelling'!$D$23/2)*O630</f>
        <v>3.1401042351294245E-5</v>
      </c>
      <c r="Q630" s="68"/>
    </row>
    <row r="631" spans="1:17" x14ac:dyDescent="0.2">
      <c r="A631" s="217"/>
      <c r="B631" s="64" t="s">
        <v>104</v>
      </c>
      <c r="C631" s="66">
        <v>0.58429999999999993</v>
      </c>
      <c r="D631" s="66">
        <f t="shared" si="43"/>
        <v>9.3487999999999982E-14</v>
      </c>
      <c r="E631" s="66">
        <v>1.4E-5</v>
      </c>
      <c r="F631" s="66">
        <f>_xlfn.IFNA(INDEX('hp (pSv cm2)'!$B$2:$B$52,MATCH($C631,'hp (pSv cm2)'!$A$2:$A$52,1))+($C631-INDEX('hp (pSv cm2)'!$A$2:$A$52,MATCH($C631,'hp (pSv cm2)'!$A$2:$A$52,1)))*(INDEX('hp (pSv cm2)'!$B$2:$B$52,MATCH($C631,'hp (pSv cm2)'!$A$2:$A$52,1)+1)-INDEX('hp (pSv cm2)'!$B$2:$B$52,MATCH($C631,'hp (pSv cm2)'!$A$2:$A$52,1)))/(INDEX('hp (pSv cm2)'!$A$2:$A$52,MATCH($C631,'hp (pSv cm2)'!$A$2:$A$52,1)+1)-INDEX('hp (pSv cm2)'!$A$2:$A$52,MATCH($C631,'hp (pSv cm2)'!$A$2:$A$52,1))),$C631*'hp (pSv cm2)'!$B$2/'hp (pSv cm2)'!$A$2)</f>
        <v>2.8409200000000001</v>
      </c>
      <c r="G631" s="67">
        <f t="shared" si="44"/>
        <v>3.9772879999999999E-5</v>
      </c>
      <c r="H631" s="83">
        <f>_xlfn.IFNA(0.997*(INDEX('Mass attenuation coefficients'!$B$2:$B$37,MATCH($C631,'Mass attenuation coefficients'!$A$2:$A$37,1))+($C631-INDEX('Mass attenuation coefficients'!$A$2:$A$37,MATCH($C631,'Mass attenuation coefficients'!$A$2:$A$37,1)))*(INDEX('Mass attenuation coefficients'!$B$2:$B$37,MATCH($C631,'Mass attenuation coefficients'!$A$2:$A$37,1)+1)-INDEX('Mass attenuation coefficients'!$B$2:$B$37,MATCH($C631,'Mass attenuation coefficients'!$A$2:$A$37,1)))/(INDEX('Mass attenuation coefficients'!$A$2:$A$37,MATCH($C631,'Mass attenuation coefficients'!$A$2:$A$37,1)+1)-INDEX('Mass attenuation coefficients'!$A$2:$A$37,MATCH($C631,'Mass attenuation coefficients'!$A$2:$A$37,1)))),0.997*$C631*'Mass attenuation coefficients'!$B$2/'Mass attenuation coefficients'!$A$2)</f>
        <v>9.0435546990000004E-2</v>
      </c>
      <c r="I631" s="83">
        <f>_xlfn.IFNA(INDEX('Shultis Faw'!$C$2:$C$26,MATCH($C631,'Shultis Faw'!$A$2:$A$26,1))+($C631-INDEX('Shultis Faw'!$A$2:$A$26,MATCH($C631,'Shultis Faw'!$A$2:$A$26,1)))*(INDEX('Shultis Faw'!$C$2:$C$26,MATCH($C631,'Shultis Faw'!$A$2:$A$26,1)+1)-INDEX('Shultis Faw'!$C$2:$C$26,MATCH($C631,'Shultis Faw'!$A$2:$A$26,1)))/(INDEX('Shultis Faw'!$A$2:$A$26,MATCH($C631,'Shultis Faw'!$A$2:$A$26,1)+1)-INDEX('Shultis Faw'!$A$2:$A$26,MATCH($C631,'Shultis Faw'!$A$2:$A$26,1))),$C631*'Shultis Faw'!$C$2/'Shultis Faw'!$A$2)</f>
        <v>2.3963109999999999</v>
      </c>
      <c r="J631" s="83">
        <f>_xlfn.IFNA(INDEX('Shultis Faw'!$D$2:$D$26,MATCH($C631,'Shultis Faw'!$A$2:$A$26,1))+($C631-INDEX('Shultis Faw'!$A$2:$A$26,MATCH($C631,'Shultis Faw'!$A$2:$A$26,1)))*(INDEX('Shultis Faw'!$D$2:$D$26,MATCH($C631,'Shultis Faw'!$A$2:$A$26,1)+1)-INDEX('Shultis Faw'!$D$2:$D$26,MATCH($C631,'Shultis Faw'!$A$2:$A$26,1)))/(INDEX('Shultis Faw'!$A$2:$A$26,MATCH($C631,'Shultis Faw'!$A$2:$A$26,1)+1)-INDEX('Shultis Faw'!$A$2:$A$26,MATCH($C631,'Shultis Faw'!$A$2:$A$26,1))),$C631*'Shultis Faw'!$D$2/'Shultis Faw'!$A$2)</f>
        <v>1.6926590000000001</v>
      </c>
      <c r="K631" s="83">
        <f>_xlfn.IFNA(INDEX('Shultis Faw'!$B$2:$B$26,MATCH($C631,'Shultis Faw'!$A$2:$A$26,1))+($C631-INDEX('Shultis Faw'!$A$2:$A$26,MATCH($C631,'Shultis Faw'!$A$2:$A$26,1)))*(INDEX('Shultis Faw'!$B$2:$B$26,MATCH($C631,'Shultis Faw'!$A$2:$A$26,1)+1)-INDEX('Shultis Faw'!$B$2:$B$26,MATCH($C631,'Shultis Faw'!$A$2:$A$26,1)))/(INDEX('Shultis Faw'!$A$2:$A$26,MATCH($C631,'Shultis Faw'!$A$2:$A$26,1)+1)-INDEX('Shultis Faw'!$A$2:$A$26,MATCH($C631,'Shultis Faw'!$A$2:$A$26,1))),$C631*'Shultis Faw'!$B$2/'Shultis Faw'!$A$2)</f>
        <v>-0.12572700000000001</v>
      </c>
      <c r="L631" s="83">
        <f>_xlfn.IFNA(INDEX('Shultis Faw'!$E$2:$E$26,MATCH($C631,'Shultis Faw'!$A$2:$A$26,1))+($C631-INDEX('Shultis Faw'!$A$2:$A$26,MATCH($C631,'Shultis Faw'!$A$2:$A$26,1)))*(INDEX('Shultis Faw'!$E$2:$E$26,MATCH($C631,'Shultis Faw'!$A$2:$A$26,1)+1)-INDEX('Shultis Faw'!$E$2:$E$26,MATCH($C631,'Shultis Faw'!$A$2:$A$26,1)))/(INDEX('Shultis Faw'!$A$2:$A$26,MATCH($C631,'Shultis Faw'!$A$2:$A$26,1)+1)-INDEX('Shultis Faw'!$A$2:$A$26,MATCH($C631,'Shultis Faw'!$A$2:$A$26,1))),$C631*'Shultis Faw'!$E$2/'Shultis Faw'!$A$2)</f>
        <v>5.0975100000000002E-2</v>
      </c>
      <c r="M631" s="83">
        <f>_xlfn.IFNA(INDEX('Shultis Faw'!$F$2:$F$26,MATCH($C631,'Shultis Faw'!$A$2:$A$26,1))+($C631-INDEX('Shultis Faw'!$A$2:$A$26,MATCH($C631,'Shultis Faw'!$A$2:$A$26,1)))*(INDEX('Shultis Faw'!$F$2:$F$26,MATCH($C631,'Shultis Faw'!$A$2:$A$26,1)+1)-INDEX('Shultis Faw'!$F$2:$F$26,MATCH($C631,'Shultis Faw'!$A$2:$A$26,1)))/(INDEX('Shultis Faw'!$A$2:$A$26,MATCH($C631,'Shultis Faw'!$A$2:$A$26,1)+1)-INDEX('Shultis Faw'!$A$2:$A$26,MATCH($C631,'Shultis Faw'!$A$2:$A$26,1))),$C631*'Shultis Faw'!$F$2/'Shultis Faw'!$A$2)</f>
        <v>14.245700000000001</v>
      </c>
      <c r="N631" s="83">
        <f>J631*(H631*'Externe blootstelling'!$D$23/2)^K631+L631*(TANH(((H631*'Externe blootstelling'!$D$23)/(2*M631))-2)-TANH(-2))/(1-TANH(-2))</f>
        <v>1.6291852847679469</v>
      </c>
      <c r="O631" s="83">
        <f>IF(N631=1,1+(I631-1)*H631*'Externe blootstelling'!$D$23/2,1+(I631-1)*(N631^(H631*'Externe blootstelling'!$D$23/2)-1)/(N631-1))</f>
        <v>3.0835380105410963</v>
      </c>
      <c r="P631" s="67">
        <f>G631*EXP(-H631*'Externe blootstelling'!$D$23/2)*O631</f>
        <v>3.1586496729897312E-5</v>
      </c>
      <c r="Q631" s="68"/>
    </row>
    <row r="632" spans="1:17" x14ac:dyDescent="0.2">
      <c r="A632" s="217"/>
      <c r="B632" s="64" t="s">
        <v>104</v>
      </c>
      <c r="C632" s="66">
        <v>0.59399999999999997</v>
      </c>
      <c r="D632" s="66">
        <f t="shared" si="43"/>
        <v>9.5039999999999992E-14</v>
      </c>
      <c r="E632" s="66">
        <v>1.4E-5</v>
      </c>
      <c r="F632" s="66">
        <f>_xlfn.IFNA(INDEX('hp (pSv cm2)'!$B$2:$B$52,MATCH($C632,'hp (pSv cm2)'!$A$2:$A$52,1))+($C632-INDEX('hp (pSv cm2)'!$A$2:$A$52,MATCH($C632,'hp (pSv cm2)'!$A$2:$A$52,1)))*(INDEX('hp (pSv cm2)'!$B$2:$B$52,MATCH($C632,'hp (pSv cm2)'!$A$2:$A$52,1)+1)-INDEX('hp (pSv cm2)'!$B$2:$B$52,MATCH($C632,'hp (pSv cm2)'!$A$2:$A$52,1)))/(INDEX('hp (pSv cm2)'!$A$2:$A$52,MATCH($C632,'hp (pSv cm2)'!$A$2:$A$52,1)+1)-INDEX('hp (pSv cm2)'!$A$2:$A$52,MATCH($C632,'hp (pSv cm2)'!$A$2:$A$52,1))),$C632*'hp (pSv cm2)'!$B$2/'hp (pSv cm2)'!$A$2)</f>
        <v>2.8835999999999999</v>
      </c>
      <c r="G632" s="67">
        <f t="shared" si="44"/>
        <v>4.0370399999999996E-5</v>
      </c>
      <c r="H632" s="83">
        <f>_xlfn.IFNA(0.997*(INDEX('Mass attenuation coefficients'!$B$2:$B$37,MATCH($C632,'Mass attenuation coefficients'!$A$2:$A$37,1))+($C632-INDEX('Mass attenuation coefficients'!$A$2:$A$37,MATCH($C632,'Mass attenuation coefficients'!$A$2:$A$37,1)))*(INDEX('Mass attenuation coefficients'!$B$2:$B$37,MATCH($C632,'Mass attenuation coefficients'!$A$2:$A$37,1)+1)-INDEX('Mass attenuation coefficients'!$B$2:$B$37,MATCH($C632,'Mass attenuation coefficients'!$A$2:$A$37,1)))/(INDEX('Mass attenuation coefficients'!$A$2:$A$37,MATCH($C632,'Mass attenuation coefficients'!$A$2:$A$37,1)+1)-INDEX('Mass attenuation coefficients'!$A$2:$A$37,MATCH($C632,'Mass attenuation coefficients'!$A$2:$A$37,1)))),0.997*$C632*'Mass attenuation coefficients'!$B$2/'Mass attenuation coefficients'!$A$2)</f>
        <v>8.9728604199999992E-2</v>
      </c>
      <c r="I632" s="83">
        <f>_xlfn.IFNA(INDEX('Shultis Faw'!$C$2:$C$26,MATCH($C632,'Shultis Faw'!$A$2:$A$26,1))+($C632-INDEX('Shultis Faw'!$A$2:$A$26,MATCH($C632,'Shultis Faw'!$A$2:$A$26,1)))*(INDEX('Shultis Faw'!$C$2:$C$26,MATCH($C632,'Shultis Faw'!$A$2:$A$26,1)+1)-INDEX('Shultis Faw'!$C$2:$C$26,MATCH($C632,'Shultis Faw'!$A$2:$A$26,1)))/(INDEX('Shultis Faw'!$A$2:$A$26,MATCH($C632,'Shultis Faw'!$A$2:$A$26,1)+1)-INDEX('Shultis Faw'!$A$2:$A$26,MATCH($C632,'Shultis Faw'!$A$2:$A$26,1))),$C632*'Shultis Faw'!$C$2/'Shultis Faw'!$A$2)</f>
        <v>2.3843799999999997</v>
      </c>
      <c r="J632" s="83">
        <f>_xlfn.IFNA(INDEX('Shultis Faw'!$D$2:$D$26,MATCH($C632,'Shultis Faw'!$A$2:$A$26,1))+($C632-INDEX('Shultis Faw'!$A$2:$A$26,MATCH($C632,'Shultis Faw'!$A$2:$A$26,1)))*(INDEX('Shultis Faw'!$D$2:$D$26,MATCH($C632,'Shultis Faw'!$A$2:$A$26,1)+1)-INDEX('Shultis Faw'!$D$2:$D$26,MATCH($C632,'Shultis Faw'!$A$2:$A$26,1)))/(INDEX('Shultis Faw'!$A$2:$A$26,MATCH($C632,'Shultis Faw'!$A$2:$A$26,1)+1)-INDEX('Shultis Faw'!$A$2:$A$26,MATCH($C632,'Shultis Faw'!$A$2:$A$26,1))),$C632*'Shultis Faw'!$D$2/'Shultis Faw'!$A$2)</f>
        <v>1.6842200000000001</v>
      </c>
      <c r="K632" s="83">
        <f>_xlfn.IFNA(INDEX('Shultis Faw'!$B$2:$B$26,MATCH($C632,'Shultis Faw'!$A$2:$A$26,1))+($C632-INDEX('Shultis Faw'!$A$2:$A$26,MATCH($C632,'Shultis Faw'!$A$2:$A$26,1)))*(INDEX('Shultis Faw'!$B$2:$B$26,MATCH($C632,'Shultis Faw'!$A$2:$A$26,1)+1)-INDEX('Shultis Faw'!$B$2:$B$26,MATCH($C632,'Shultis Faw'!$A$2:$A$26,1)))/(INDEX('Shultis Faw'!$A$2:$A$26,MATCH($C632,'Shultis Faw'!$A$2:$A$26,1)+1)-INDEX('Shultis Faw'!$A$2:$A$26,MATCH($C632,'Shultis Faw'!$A$2:$A$26,1))),$C632*'Shultis Faw'!$B$2/'Shultis Faw'!$A$2)</f>
        <v>-0.12465999999999999</v>
      </c>
      <c r="L632" s="83">
        <f>_xlfn.IFNA(INDEX('Shultis Faw'!$E$2:$E$26,MATCH($C632,'Shultis Faw'!$A$2:$A$26,1))+($C632-INDEX('Shultis Faw'!$A$2:$A$26,MATCH($C632,'Shultis Faw'!$A$2:$A$26,1)))*(INDEX('Shultis Faw'!$E$2:$E$26,MATCH($C632,'Shultis Faw'!$A$2:$A$26,1)+1)-INDEX('Shultis Faw'!$E$2:$E$26,MATCH($C632,'Shultis Faw'!$A$2:$A$26,1)))/(INDEX('Shultis Faw'!$A$2:$A$26,MATCH($C632,'Shultis Faw'!$A$2:$A$26,1)+1)-INDEX('Shultis Faw'!$A$2:$A$26,MATCH($C632,'Shultis Faw'!$A$2:$A$26,1))),$C632*'Shultis Faw'!$E$2/'Shultis Faw'!$A$2)</f>
        <v>5.0557999999999999E-2</v>
      </c>
      <c r="M632" s="83">
        <f>_xlfn.IFNA(INDEX('Shultis Faw'!$F$2:$F$26,MATCH($C632,'Shultis Faw'!$A$2:$A$26,1))+($C632-INDEX('Shultis Faw'!$A$2:$A$26,MATCH($C632,'Shultis Faw'!$A$2:$A$26,1)))*(INDEX('Shultis Faw'!$F$2:$F$26,MATCH($C632,'Shultis Faw'!$A$2:$A$26,1)+1)-INDEX('Shultis Faw'!$F$2:$F$26,MATCH($C632,'Shultis Faw'!$A$2:$A$26,1)))/(INDEX('Shultis Faw'!$A$2:$A$26,MATCH($C632,'Shultis Faw'!$A$2:$A$26,1)+1)-INDEX('Shultis Faw'!$A$2:$A$26,MATCH($C632,'Shultis Faw'!$A$2:$A$26,1))),$C632*'Shultis Faw'!$F$2/'Shultis Faw'!$A$2)</f>
        <v>14.236000000000001</v>
      </c>
      <c r="N632" s="83">
        <f>J632*(H632*'Externe blootstelling'!$D$23/2)^K632+L632*(TANH(((H632*'Externe blootstelling'!$D$23)/(2*M632))-2)-TANH(-2))/(1-TANH(-2))</f>
        <v>1.6231751059713468</v>
      </c>
      <c r="O632" s="83">
        <f>IF(N632=1,1+(I632-1)*H632*'Externe blootstelling'!$D$23/2,1+(I632-1)*(N632^(H632*'Externe blootstelling'!$D$23/2)-1)/(N632-1))</f>
        <v>3.0421609506322547</v>
      </c>
      <c r="P632" s="67">
        <f>G632*EXP(-H632*'Externe blootstelling'!$D$23/2)*O632</f>
        <v>3.196801533226902E-5</v>
      </c>
      <c r="Q632" s="68"/>
    </row>
    <row r="633" spans="1:17" x14ac:dyDescent="0.2">
      <c r="A633" s="217"/>
      <c r="B633" s="64" t="s">
        <v>104</v>
      </c>
      <c r="C633" s="66">
        <v>0.59872100000000006</v>
      </c>
      <c r="D633" s="66">
        <f t="shared" si="43"/>
        <v>9.5795360000000008E-14</v>
      </c>
      <c r="E633" s="66">
        <v>9.2000000000000003E-4</v>
      </c>
      <c r="F633" s="66">
        <f>_xlfn.IFNA(INDEX('hp (pSv cm2)'!$B$2:$B$52,MATCH($C633,'hp (pSv cm2)'!$A$2:$A$52,1))+($C633-INDEX('hp (pSv cm2)'!$A$2:$A$52,MATCH($C633,'hp (pSv cm2)'!$A$2:$A$52,1)))*(INDEX('hp (pSv cm2)'!$B$2:$B$52,MATCH($C633,'hp (pSv cm2)'!$A$2:$A$52,1)+1)-INDEX('hp (pSv cm2)'!$B$2:$B$52,MATCH($C633,'hp (pSv cm2)'!$A$2:$A$52,1)))/(INDEX('hp (pSv cm2)'!$A$2:$A$52,MATCH($C633,'hp (pSv cm2)'!$A$2:$A$52,1)+1)-INDEX('hp (pSv cm2)'!$A$2:$A$52,MATCH($C633,'hp (pSv cm2)'!$A$2:$A$52,1))),$C633*'hp (pSv cm2)'!$B$2/'hp (pSv cm2)'!$A$2)</f>
        <v>2.9043724000000006</v>
      </c>
      <c r="G633" s="67">
        <f t="shared" si="44"/>
        <v>2.6720226080000006E-3</v>
      </c>
      <c r="H633" s="83">
        <f>_xlfn.IFNA(0.997*(INDEX('Mass attenuation coefficients'!$B$2:$B$37,MATCH($C633,'Mass attenuation coefficients'!$A$2:$A$37,1))+($C633-INDEX('Mass attenuation coefficients'!$A$2:$A$37,MATCH($C633,'Mass attenuation coefficients'!$A$2:$A$37,1)))*(INDEX('Mass attenuation coefficients'!$B$2:$B$37,MATCH($C633,'Mass attenuation coefficients'!$A$2:$A$37,1)+1)-INDEX('Mass attenuation coefficients'!$B$2:$B$37,MATCH($C633,'Mass attenuation coefficients'!$A$2:$A$37,1)))/(INDEX('Mass attenuation coefficients'!$A$2:$A$37,MATCH($C633,'Mass attenuation coefficients'!$A$2:$A$37,1)+1)-INDEX('Mass attenuation coefficients'!$A$2:$A$37,MATCH($C633,'Mass attenuation coefficients'!$A$2:$A$37,1)))),0.997*$C633*'Mass attenuation coefficients'!$B$2/'Mass attenuation coefficients'!$A$2)</f>
        <v>8.938453441529999E-2</v>
      </c>
      <c r="I633" s="83">
        <f>_xlfn.IFNA(INDEX('Shultis Faw'!$C$2:$C$26,MATCH($C633,'Shultis Faw'!$A$2:$A$26,1))+($C633-INDEX('Shultis Faw'!$A$2:$A$26,MATCH($C633,'Shultis Faw'!$A$2:$A$26,1)))*(INDEX('Shultis Faw'!$C$2:$C$26,MATCH($C633,'Shultis Faw'!$A$2:$A$26,1)+1)-INDEX('Shultis Faw'!$C$2:$C$26,MATCH($C633,'Shultis Faw'!$A$2:$A$26,1)))/(INDEX('Shultis Faw'!$A$2:$A$26,MATCH($C633,'Shultis Faw'!$A$2:$A$26,1)+1)-INDEX('Shultis Faw'!$A$2:$A$26,MATCH($C633,'Shultis Faw'!$A$2:$A$26,1))),$C633*'Shultis Faw'!$C$2/'Shultis Faw'!$A$2)</f>
        <v>2.3785731699999997</v>
      </c>
      <c r="J633" s="83">
        <f>_xlfn.IFNA(INDEX('Shultis Faw'!$D$2:$D$26,MATCH($C633,'Shultis Faw'!$A$2:$A$26,1))+($C633-INDEX('Shultis Faw'!$A$2:$A$26,MATCH($C633,'Shultis Faw'!$A$2:$A$26,1)))*(INDEX('Shultis Faw'!$D$2:$D$26,MATCH($C633,'Shultis Faw'!$A$2:$A$26,1)+1)-INDEX('Shultis Faw'!$D$2:$D$26,MATCH($C633,'Shultis Faw'!$A$2:$A$26,1)))/(INDEX('Shultis Faw'!$A$2:$A$26,MATCH($C633,'Shultis Faw'!$A$2:$A$26,1)+1)-INDEX('Shultis Faw'!$A$2:$A$26,MATCH($C633,'Shultis Faw'!$A$2:$A$26,1))),$C633*'Shultis Faw'!$D$2/'Shultis Faw'!$A$2)</f>
        <v>1.6801127300000001</v>
      </c>
      <c r="K633" s="83">
        <f>_xlfn.IFNA(INDEX('Shultis Faw'!$B$2:$B$26,MATCH($C633,'Shultis Faw'!$A$2:$A$26,1))+($C633-INDEX('Shultis Faw'!$A$2:$A$26,MATCH($C633,'Shultis Faw'!$A$2:$A$26,1)))*(INDEX('Shultis Faw'!$B$2:$B$26,MATCH($C633,'Shultis Faw'!$A$2:$A$26,1)+1)-INDEX('Shultis Faw'!$B$2:$B$26,MATCH($C633,'Shultis Faw'!$A$2:$A$26,1)))/(INDEX('Shultis Faw'!$A$2:$A$26,MATCH($C633,'Shultis Faw'!$A$2:$A$26,1)+1)-INDEX('Shultis Faw'!$A$2:$A$26,MATCH($C633,'Shultis Faw'!$A$2:$A$26,1))),$C633*'Shultis Faw'!$B$2/'Shultis Faw'!$A$2)</f>
        <v>-0.12414069</v>
      </c>
      <c r="L633" s="83">
        <f>_xlfn.IFNA(INDEX('Shultis Faw'!$E$2:$E$26,MATCH($C633,'Shultis Faw'!$A$2:$A$26,1))+($C633-INDEX('Shultis Faw'!$A$2:$A$26,MATCH($C633,'Shultis Faw'!$A$2:$A$26,1)))*(INDEX('Shultis Faw'!$E$2:$E$26,MATCH($C633,'Shultis Faw'!$A$2:$A$26,1)+1)-INDEX('Shultis Faw'!$E$2:$E$26,MATCH($C633,'Shultis Faw'!$A$2:$A$26,1)))/(INDEX('Shultis Faw'!$A$2:$A$26,MATCH($C633,'Shultis Faw'!$A$2:$A$26,1)+1)-INDEX('Shultis Faw'!$A$2:$A$26,MATCH($C633,'Shultis Faw'!$A$2:$A$26,1))),$C633*'Shultis Faw'!$E$2/'Shultis Faw'!$A$2)</f>
        <v>5.0354996999999992E-2</v>
      </c>
      <c r="M633" s="83">
        <f>_xlfn.IFNA(INDEX('Shultis Faw'!$F$2:$F$26,MATCH($C633,'Shultis Faw'!$A$2:$A$26,1))+($C633-INDEX('Shultis Faw'!$A$2:$A$26,MATCH($C633,'Shultis Faw'!$A$2:$A$26,1)))*(INDEX('Shultis Faw'!$F$2:$F$26,MATCH($C633,'Shultis Faw'!$A$2:$A$26,1)+1)-INDEX('Shultis Faw'!$F$2:$F$26,MATCH($C633,'Shultis Faw'!$A$2:$A$26,1)))/(INDEX('Shultis Faw'!$A$2:$A$26,MATCH($C633,'Shultis Faw'!$A$2:$A$26,1)+1)-INDEX('Shultis Faw'!$A$2:$A$26,MATCH($C633,'Shultis Faw'!$A$2:$A$26,1))),$C633*'Shultis Faw'!$F$2/'Shultis Faw'!$A$2)</f>
        <v>14.231279000000001</v>
      </c>
      <c r="N633" s="83">
        <f>J633*(H633*'Externe blootstelling'!$D$23/2)^K633+L633*(TANH(((H633*'Externe blootstelling'!$D$23)/(2*M633))-2)-TANH(-2))/(1-TANH(-2))</f>
        <v>1.6202379723373033</v>
      </c>
      <c r="O633" s="83">
        <f>IF(N633=1,1+(I633-1)*H633*'Externe blootstelling'!$D$23/2,1+(I633-1)*(N633^(H633*'Externe blootstelling'!$D$23/2)-1)/(N633-1))</f>
        <v>3.0222535439922216</v>
      </c>
      <c r="P633" s="67">
        <f>G633*EXP(-H633*'Externe blootstelling'!$D$23/2)*O633</f>
        <v>2.1129191192592496E-3</v>
      </c>
      <c r="Q633" s="68"/>
    </row>
    <row r="634" spans="1:17" x14ac:dyDescent="0.2">
      <c r="A634" s="217"/>
      <c r="B634" s="64" t="s">
        <v>104</v>
      </c>
      <c r="C634" s="66">
        <v>0.60930999999999991</v>
      </c>
      <c r="D634" s="66">
        <f t="shared" si="43"/>
        <v>9.748959999999998E-14</v>
      </c>
      <c r="E634" s="66">
        <v>5.6999999999999998E-4</v>
      </c>
      <c r="F634" s="66">
        <f>_xlfn.IFNA(INDEX('hp (pSv cm2)'!$B$2:$B$52,MATCH($C634,'hp (pSv cm2)'!$A$2:$A$52,1))+($C634-INDEX('hp (pSv cm2)'!$A$2:$A$52,MATCH($C634,'hp (pSv cm2)'!$A$2:$A$52,1)))*(INDEX('hp (pSv cm2)'!$B$2:$B$52,MATCH($C634,'hp (pSv cm2)'!$A$2:$A$52,1)+1)-INDEX('hp (pSv cm2)'!$B$2:$B$52,MATCH($C634,'hp (pSv cm2)'!$A$2:$A$52,1)))/(INDEX('hp (pSv cm2)'!$A$2:$A$52,MATCH($C634,'hp (pSv cm2)'!$A$2:$A$52,1)+1)-INDEX('hp (pSv cm2)'!$A$2:$A$52,MATCH($C634,'hp (pSv cm2)'!$A$2:$A$52,1))),$C634*'hp (pSv cm2)'!$B$2/'hp (pSv cm2)'!$A$2)</f>
        <v>2.9481709999999999</v>
      </c>
      <c r="G634" s="67">
        <f t="shared" si="44"/>
        <v>1.6804574699999999E-3</v>
      </c>
      <c r="H634" s="83">
        <f>_xlfn.IFNA(0.997*(INDEX('Mass attenuation coefficients'!$B$2:$B$37,MATCH($C634,'Mass attenuation coefficients'!$A$2:$A$37,1))+($C634-INDEX('Mass attenuation coefficients'!$A$2:$A$37,MATCH($C634,'Mass attenuation coefficients'!$A$2:$A$37,1)))*(INDEX('Mass attenuation coefficients'!$B$2:$B$37,MATCH($C634,'Mass attenuation coefficients'!$A$2:$A$37,1)+1)-INDEX('Mass attenuation coefficients'!$B$2:$B$37,MATCH($C634,'Mass attenuation coefficients'!$A$2:$A$37,1)))/(INDEX('Mass attenuation coefficients'!$A$2:$A$37,MATCH($C634,'Mass attenuation coefficients'!$A$2:$A$37,1)+1)-INDEX('Mass attenuation coefficients'!$A$2:$A$37,MATCH($C634,'Mass attenuation coefficients'!$A$2:$A$37,1)))),0.997*$C634*'Mass attenuation coefficients'!$B$2/'Mass attenuation coefficients'!$A$2)</f>
        <v>8.8784983081499999E-2</v>
      </c>
      <c r="I634" s="83">
        <f>_xlfn.IFNA(INDEX('Shultis Faw'!$C$2:$C$26,MATCH($C634,'Shultis Faw'!$A$2:$A$26,1))+($C634-INDEX('Shultis Faw'!$A$2:$A$26,MATCH($C634,'Shultis Faw'!$A$2:$A$26,1)))*(INDEX('Shultis Faw'!$C$2:$C$26,MATCH($C634,'Shultis Faw'!$A$2:$A$26,1)+1)-INDEX('Shultis Faw'!$C$2:$C$26,MATCH($C634,'Shultis Faw'!$A$2:$A$26,1)))/(INDEX('Shultis Faw'!$A$2:$A$26,MATCH($C634,'Shultis Faw'!$A$2:$A$26,1)+1)-INDEX('Shultis Faw'!$A$2:$A$26,MATCH($C634,'Shultis Faw'!$A$2:$A$26,1))),$C634*'Shultis Faw'!$C$2/'Shultis Faw'!$A$2)</f>
        <v>2.3693192499999998</v>
      </c>
      <c r="J634" s="83">
        <f>_xlfn.IFNA(INDEX('Shultis Faw'!$D$2:$D$26,MATCH($C634,'Shultis Faw'!$A$2:$A$26,1))+($C634-INDEX('Shultis Faw'!$A$2:$A$26,MATCH($C634,'Shultis Faw'!$A$2:$A$26,1)))*(INDEX('Shultis Faw'!$D$2:$D$26,MATCH($C634,'Shultis Faw'!$A$2:$A$26,1)+1)-INDEX('Shultis Faw'!$D$2:$D$26,MATCH($C634,'Shultis Faw'!$A$2:$A$26,1)))/(INDEX('Shultis Faw'!$A$2:$A$26,MATCH($C634,'Shultis Faw'!$A$2:$A$26,1)+1)-INDEX('Shultis Faw'!$A$2:$A$26,MATCH($C634,'Shultis Faw'!$A$2:$A$26,1))),$C634*'Shultis Faw'!$D$2/'Shultis Faw'!$A$2)</f>
        <v>1.6727157500000001</v>
      </c>
      <c r="K634" s="83">
        <f>_xlfn.IFNA(INDEX('Shultis Faw'!$B$2:$B$26,MATCH($C634,'Shultis Faw'!$A$2:$A$26,1))+($C634-INDEX('Shultis Faw'!$A$2:$A$26,MATCH($C634,'Shultis Faw'!$A$2:$A$26,1)))*(INDEX('Shultis Faw'!$B$2:$B$26,MATCH($C634,'Shultis Faw'!$A$2:$A$26,1)+1)-INDEX('Shultis Faw'!$B$2:$B$26,MATCH($C634,'Shultis Faw'!$A$2:$A$26,1)))/(INDEX('Shultis Faw'!$A$2:$A$26,MATCH($C634,'Shultis Faw'!$A$2:$A$26,1)+1)-INDEX('Shultis Faw'!$A$2:$A$26,MATCH($C634,'Shultis Faw'!$A$2:$A$26,1))),$C634*'Shultis Faw'!$B$2/'Shultis Faw'!$A$2)</f>
        <v>-0.12311555</v>
      </c>
      <c r="L634" s="83">
        <f>_xlfn.IFNA(INDEX('Shultis Faw'!$E$2:$E$26,MATCH($C634,'Shultis Faw'!$A$2:$A$26,1))+($C634-INDEX('Shultis Faw'!$A$2:$A$26,MATCH($C634,'Shultis Faw'!$A$2:$A$26,1)))*(INDEX('Shultis Faw'!$E$2:$E$26,MATCH($C634,'Shultis Faw'!$A$2:$A$26,1)+1)-INDEX('Shultis Faw'!$E$2:$E$26,MATCH($C634,'Shultis Faw'!$A$2:$A$26,1)))/(INDEX('Shultis Faw'!$A$2:$A$26,MATCH($C634,'Shultis Faw'!$A$2:$A$26,1)+1)-INDEX('Shultis Faw'!$A$2:$A$26,MATCH($C634,'Shultis Faw'!$A$2:$A$26,1))),$C634*'Shultis Faw'!$E$2/'Shultis Faw'!$A$2)</f>
        <v>4.9992769999999999E-2</v>
      </c>
      <c r="M634" s="83">
        <f>_xlfn.IFNA(INDEX('Shultis Faw'!$F$2:$F$26,MATCH($C634,'Shultis Faw'!$A$2:$A$26,1))+($C634-INDEX('Shultis Faw'!$A$2:$A$26,MATCH($C634,'Shultis Faw'!$A$2:$A$26,1)))*(INDEX('Shultis Faw'!$F$2:$F$26,MATCH($C634,'Shultis Faw'!$A$2:$A$26,1)+1)-INDEX('Shultis Faw'!$F$2:$F$26,MATCH($C634,'Shultis Faw'!$A$2:$A$26,1)))/(INDEX('Shultis Faw'!$A$2:$A$26,MATCH($C634,'Shultis Faw'!$A$2:$A$26,1)+1)-INDEX('Shultis Faw'!$A$2:$A$26,MATCH($C634,'Shultis Faw'!$A$2:$A$26,1))),$C634*'Shultis Faw'!$F$2/'Shultis Faw'!$A$2)</f>
        <v>14.2360515</v>
      </c>
      <c r="N634" s="83">
        <f>J634*(H634*'Externe blootstelling'!$D$23/2)^K634+L634*(TANH(((H634*'Externe blootstelling'!$D$23)/(2*M634))-2)-TANH(-2))/(1-TANH(-2))</f>
        <v>1.6149249872968383</v>
      </c>
      <c r="O634" s="83">
        <f>IF(N634=1,1+(I634-1)*H634*'Externe blootstelling'!$D$23/2,1+(I634-1)*(N634^(H634*'Externe blootstelling'!$D$23/2)-1)/(N634-1))</f>
        <v>2.9891349683165389</v>
      </c>
      <c r="P634" s="67">
        <f>G634*EXP(-H634*'Externe blootstelling'!$D$23/2)*O634</f>
        <v>1.3261438247279054E-3</v>
      </c>
      <c r="Q634" s="68"/>
    </row>
    <row r="635" spans="1:17" x14ac:dyDescent="0.2">
      <c r="A635" s="217"/>
      <c r="B635" s="64" t="s">
        <v>104</v>
      </c>
      <c r="C635" s="66">
        <v>0.61909999999999998</v>
      </c>
      <c r="D635" s="66">
        <f t="shared" si="43"/>
        <v>9.9055999999999997E-14</v>
      </c>
      <c r="E635" s="66">
        <v>3.6000000000000001E-5</v>
      </c>
      <c r="F635" s="66">
        <f>_xlfn.IFNA(INDEX('hp (pSv cm2)'!$B$2:$B$52,MATCH($C635,'hp (pSv cm2)'!$A$2:$A$52,1))+($C635-INDEX('hp (pSv cm2)'!$A$2:$A$52,MATCH($C635,'hp (pSv cm2)'!$A$2:$A$52,1)))*(INDEX('hp (pSv cm2)'!$B$2:$B$52,MATCH($C635,'hp (pSv cm2)'!$A$2:$A$52,1)+1)-INDEX('hp (pSv cm2)'!$B$2:$B$52,MATCH($C635,'hp (pSv cm2)'!$A$2:$A$52,1)))/(INDEX('hp (pSv cm2)'!$A$2:$A$52,MATCH($C635,'hp (pSv cm2)'!$A$2:$A$52,1)+1)-INDEX('hp (pSv cm2)'!$A$2:$A$52,MATCH($C635,'hp (pSv cm2)'!$A$2:$A$52,1))),$C635*'hp (pSv cm2)'!$B$2/'hp (pSv cm2)'!$A$2)</f>
        <v>2.9883100000000002</v>
      </c>
      <c r="G635" s="67">
        <f t="shared" si="44"/>
        <v>1.0757916000000001E-4</v>
      </c>
      <c r="H635" s="83">
        <f>_xlfn.IFNA(0.997*(INDEX('Mass attenuation coefficients'!$B$2:$B$37,MATCH($C635,'Mass attenuation coefficients'!$A$2:$A$37,1))+($C635-INDEX('Mass attenuation coefficients'!$A$2:$A$37,MATCH($C635,'Mass attenuation coefficients'!$A$2:$A$37,1)))*(INDEX('Mass attenuation coefficients'!$B$2:$B$37,MATCH($C635,'Mass attenuation coefficients'!$A$2:$A$37,1)+1)-INDEX('Mass attenuation coefficients'!$B$2:$B$37,MATCH($C635,'Mass attenuation coefficients'!$A$2:$A$37,1)))/(INDEX('Mass attenuation coefficients'!$A$2:$A$37,MATCH($C635,'Mass attenuation coefficients'!$A$2:$A$37,1)+1)-INDEX('Mass attenuation coefficients'!$A$2:$A$37,MATCH($C635,'Mass attenuation coefficients'!$A$2:$A$37,1)))),0.997*$C635*'Mass attenuation coefficients'!$B$2/'Mass attenuation coefficients'!$A$2)</f>
        <v>8.8252540715000008E-2</v>
      </c>
      <c r="I635" s="83">
        <f>_xlfn.IFNA(INDEX('Shultis Faw'!$C$2:$C$26,MATCH($C635,'Shultis Faw'!$A$2:$A$26,1))+($C635-INDEX('Shultis Faw'!$A$2:$A$26,MATCH($C635,'Shultis Faw'!$A$2:$A$26,1)))*(INDEX('Shultis Faw'!$C$2:$C$26,MATCH($C635,'Shultis Faw'!$A$2:$A$26,1)+1)-INDEX('Shultis Faw'!$C$2:$C$26,MATCH($C635,'Shultis Faw'!$A$2:$A$26,1)))/(INDEX('Shultis Faw'!$A$2:$A$26,MATCH($C635,'Shultis Faw'!$A$2:$A$26,1)+1)-INDEX('Shultis Faw'!$A$2:$A$26,MATCH($C635,'Shultis Faw'!$A$2:$A$26,1))),$C635*'Shultis Faw'!$C$2/'Shultis Faw'!$A$2)</f>
        <v>2.3612424999999999</v>
      </c>
      <c r="J635" s="83">
        <f>_xlfn.IFNA(INDEX('Shultis Faw'!$D$2:$D$26,MATCH($C635,'Shultis Faw'!$A$2:$A$26,1))+($C635-INDEX('Shultis Faw'!$A$2:$A$26,MATCH($C635,'Shultis Faw'!$A$2:$A$26,1)))*(INDEX('Shultis Faw'!$D$2:$D$26,MATCH($C635,'Shultis Faw'!$A$2:$A$26,1)+1)-INDEX('Shultis Faw'!$D$2:$D$26,MATCH($C635,'Shultis Faw'!$A$2:$A$26,1)))/(INDEX('Shultis Faw'!$A$2:$A$26,MATCH($C635,'Shultis Faw'!$A$2:$A$26,1)+1)-INDEX('Shultis Faw'!$A$2:$A$26,MATCH($C635,'Shultis Faw'!$A$2:$A$26,1))),$C635*'Shultis Faw'!$D$2/'Shultis Faw'!$A$2)</f>
        <v>1.6661075000000001</v>
      </c>
      <c r="K635" s="83">
        <f>_xlfn.IFNA(INDEX('Shultis Faw'!$B$2:$B$26,MATCH($C635,'Shultis Faw'!$A$2:$A$26,1))+($C635-INDEX('Shultis Faw'!$A$2:$A$26,MATCH($C635,'Shultis Faw'!$A$2:$A$26,1)))*(INDEX('Shultis Faw'!$B$2:$B$26,MATCH($C635,'Shultis Faw'!$A$2:$A$26,1)+1)-INDEX('Shultis Faw'!$B$2:$B$26,MATCH($C635,'Shultis Faw'!$A$2:$A$26,1)))/(INDEX('Shultis Faw'!$A$2:$A$26,MATCH($C635,'Shultis Faw'!$A$2:$A$26,1)+1)-INDEX('Shultis Faw'!$A$2:$A$26,MATCH($C635,'Shultis Faw'!$A$2:$A$26,1))),$C635*'Shultis Faw'!$B$2/'Shultis Faw'!$A$2)</f>
        <v>-0.1221855</v>
      </c>
      <c r="L635" s="83">
        <f>_xlfn.IFNA(INDEX('Shultis Faw'!$E$2:$E$26,MATCH($C635,'Shultis Faw'!$A$2:$A$26,1))+($C635-INDEX('Shultis Faw'!$A$2:$A$26,MATCH($C635,'Shultis Faw'!$A$2:$A$26,1)))*(INDEX('Shultis Faw'!$E$2:$E$26,MATCH($C635,'Shultis Faw'!$A$2:$A$26,1)+1)-INDEX('Shultis Faw'!$E$2:$E$26,MATCH($C635,'Shultis Faw'!$A$2:$A$26,1)))/(INDEX('Shultis Faw'!$A$2:$A$26,MATCH($C635,'Shultis Faw'!$A$2:$A$26,1)+1)-INDEX('Shultis Faw'!$A$2:$A$26,MATCH($C635,'Shultis Faw'!$A$2:$A$26,1))),$C635*'Shultis Faw'!$E$2/'Shultis Faw'!$A$2)</f>
        <v>4.9669699999999997E-2</v>
      </c>
      <c r="M635" s="83">
        <f>_xlfn.IFNA(INDEX('Shultis Faw'!$F$2:$F$26,MATCH($C635,'Shultis Faw'!$A$2:$A$26,1))+($C635-INDEX('Shultis Faw'!$A$2:$A$26,MATCH($C635,'Shultis Faw'!$A$2:$A$26,1)))*(INDEX('Shultis Faw'!$F$2:$F$26,MATCH($C635,'Shultis Faw'!$A$2:$A$26,1)+1)-INDEX('Shultis Faw'!$F$2:$F$26,MATCH($C635,'Shultis Faw'!$A$2:$A$26,1)))/(INDEX('Shultis Faw'!$A$2:$A$26,MATCH($C635,'Shultis Faw'!$A$2:$A$26,1)+1)-INDEX('Shultis Faw'!$A$2:$A$26,MATCH($C635,'Shultis Faw'!$A$2:$A$26,1))),$C635*'Shultis Faw'!$F$2/'Shultis Faw'!$A$2)</f>
        <v>14.242415000000001</v>
      </c>
      <c r="N635" s="83">
        <f>J635*(H635*'Externe blootstelling'!$D$23/2)^K635+L635*(TANH(((H635*'Externe blootstelling'!$D$23)/(2*M635))-2)-TANH(-2))/(1-TANH(-2))</f>
        <v>1.6101547501149198</v>
      </c>
      <c r="O635" s="83">
        <f>IF(N635=1,1+(I635-1)*H635*'Externe blootstelling'!$D$23/2,1+(I635-1)*(N635^(H635*'Externe blootstelling'!$D$23/2)-1)/(N635-1))</f>
        <v>2.9602788976437822</v>
      </c>
      <c r="P635" s="67">
        <f>G635*EXP(-H635*'Externe blootstelling'!$D$23/2)*O635</f>
        <v>8.4751404976853771E-5</v>
      </c>
      <c r="Q635" s="68"/>
    </row>
    <row r="636" spans="1:17" x14ac:dyDescent="0.2">
      <c r="A636" s="217"/>
      <c r="B636" s="64" t="s">
        <v>104</v>
      </c>
      <c r="C636" s="66">
        <v>0.6236799999999999</v>
      </c>
      <c r="D636" s="66">
        <f t="shared" si="43"/>
        <v>9.9788799999999973E-14</v>
      </c>
      <c r="E636" s="66">
        <v>8.9999999999999992E-5</v>
      </c>
      <c r="F636" s="66">
        <f>_xlfn.IFNA(INDEX('hp (pSv cm2)'!$B$2:$B$52,MATCH($C636,'hp (pSv cm2)'!$A$2:$A$52,1))+($C636-INDEX('hp (pSv cm2)'!$A$2:$A$52,MATCH($C636,'hp (pSv cm2)'!$A$2:$A$52,1)))*(INDEX('hp (pSv cm2)'!$B$2:$B$52,MATCH($C636,'hp (pSv cm2)'!$A$2:$A$52,1)+1)-INDEX('hp (pSv cm2)'!$B$2:$B$52,MATCH($C636,'hp (pSv cm2)'!$A$2:$A$52,1)))/(INDEX('hp (pSv cm2)'!$A$2:$A$52,MATCH($C636,'hp (pSv cm2)'!$A$2:$A$52,1)+1)-INDEX('hp (pSv cm2)'!$A$2:$A$52,MATCH($C636,'hp (pSv cm2)'!$A$2:$A$52,1))),$C636*'hp (pSv cm2)'!$B$2/'hp (pSv cm2)'!$A$2)</f>
        <v>3.007088</v>
      </c>
      <c r="G636" s="67">
        <f t="shared" si="44"/>
        <v>2.7063791999999996E-4</v>
      </c>
      <c r="H636" s="83">
        <f>_xlfn.IFNA(0.997*(INDEX('Mass attenuation coefficients'!$B$2:$B$37,MATCH($C636,'Mass attenuation coefficients'!$A$2:$A$37,1))+($C636-INDEX('Mass attenuation coefficients'!$A$2:$A$37,MATCH($C636,'Mass attenuation coefficients'!$A$2:$A$37,1)))*(INDEX('Mass attenuation coefficients'!$B$2:$B$37,MATCH($C636,'Mass attenuation coefficients'!$A$2:$A$37,1)+1)-INDEX('Mass attenuation coefficients'!$B$2:$B$37,MATCH($C636,'Mass attenuation coefficients'!$A$2:$A$37,1)))/(INDEX('Mass attenuation coefficients'!$A$2:$A$37,MATCH($C636,'Mass attenuation coefficients'!$A$2:$A$37,1)+1)-INDEX('Mass attenuation coefficients'!$A$2:$A$37,MATCH($C636,'Mass attenuation coefficients'!$A$2:$A$37,1)))),0.997*$C636*'Mass attenuation coefficients'!$B$2/'Mass attenuation coefficients'!$A$2)</f>
        <v>8.8003451231999999E-2</v>
      </c>
      <c r="I636" s="83">
        <f>_xlfn.IFNA(INDEX('Shultis Faw'!$C$2:$C$26,MATCH($C636,'Shultis Faw'!$A$2:$A$26,1))+($C636-INDEX('Shultis Faw'!$A$2:$A$26,MATCH($C636,'Shultis Faw'!$A$2:$A$26,1)))*(INDEX('Shultis Faw'!$C$2:$C$26,MATCH($C636,'Shultis Faw'!$A$2:$A$26,1)+1)-INDEX('Shultis Faw'!$C$2:$C$26,MATCH($C636,'Shultis Faw'!$A$2:$A$26,1)))/(INDEX('Shultis Faw'!$A$2:$A$26,MATCH($C636,'Shultis Faw'!$A$2:$A$26,1)+1)-INDEX('Shultis Faw'!$A$2:$A$26,MATCH($C636,'Shultis Faw'!$A$2:$A$26,1))),$C636*'Shultis Faw'!$C$2/'Shultis Faw'!$A$2)</f>
        <v>2.3574639999999998</v>
      </c>
      <c r="J636" s="83">
        <f>_xlfn.IFNA(INDEX('Shultis Faw'!$D$2:$D$26,MATCH($C636,'Shultis Faw'!$A$2:$A$26,1))+($C636-INDEX('Shultis Faw'!$A$2:$A$26,MATCH($C636,'Shultis Faw'!$A$2:$A$26,1)))*(INDEX('Shultis Faw'!$D$2:$D$26,MATCH($C636,'Shultis Faw'!$A$2:$A$26,1)+1)-INDEX('Shultis Faw'!$D$2:$D$26,MATCH($C636,'Shultis Faw'!$A$2:$A$26,1)))/(INDEX('Shultis Faw'!$A$2:$A$26,MATCH($C636,'Shultis Faw'!$A$2:$A$26,1)+1)-INDEX('Shultis Faw'!$A$2:$A$26,MATCH($C636,'Shultis Faw'!$A$2:$A$26,1))),$C636*'Shultis Faw'!$D$2/'Shultis Faw'!$A$2)</f>
        <v>1.663016</v>
      </c>
      <c r="K636" s="83">
        <f>_xlfn.IFNA(INDEX('Shultis Faw'!$B$2:$B$26,MATCH($C636,'Shultis Faw'!$A$2:$A$26,1))+($C636-INDEX('Shultis Faw'!$A$2:$A$26,MATCH($C636,'Shultis Faw'!$A$2:$A$26,1)))*(INDEX('Shultis Faw'!$B$2:$B$26,MATCH($C636,'Shultis Faw'!$A$2:$A$26,1)+1)-INDEX('Shultis Faw'!$B$2:$B$26,MATCH($C636,'Shultis Faw'!$A$2:$A$26,1)))/(INDEX('Shultis Faw'!$A$2:$A$26,MATCH($C636,'Shultis Faw'!$A$2:$A$26,1)+1)-INDEX('Shultis Faw'!$A$2:$A$26,MATCH($C636,'Shultis Faw'!$A$2:$A$26,1))),$C636*'Shultis Faw'!$B$2/'Shultis Faw'!$A$2)</f>
        <v>-0.12175040000000001</v>
      </c>
      <c r="L636" s="83">
        <f>_xlfn.IFNA(INDEX('Shultis Faw'!$E$2:$E$26,MATCH($C636,'Shultis Faw'!$A$2:$A$26,1))+($C636-INDEX('Shultis Faw'!$A$2:$A$26,MATCH($C636,'Shultis Faw'!$A$2:$A$26,1)))*(INDEX('Shultis Faw'!$E$2:$E$26,MATCH($C636,'Shultis Faw'!$A$2:$A$26,1)+1)-INDEX('Shultis Faw'!$E$2:$E$26,MATCH($C636,'Shultis Faw'!$A$2:$A$26,1)))/(INDEX('Shultis Faw'!$A$2:$A$26,MATCH($C636,'Shultis Faw'!$A$2:$A$26,1)+1)-INDEX('Shultis Faw'!$A$2:$A$26,MATCH($C636,'Shultis Faw'!$A$2:$A$26,1))),$C636*'Shultis Faw'!$E$2/'Shultis Faw'!$A$2)</f>
        <v>4.9518560000000003E-2</v>
      </c>
      <c r="M636" s="83">
        <f>_xlfn.IFNA(INDEX('Shultis Faw'!$F$2:$F$26,MATCH($C636,'Shultis Faw'!$A$2:$A$26,1))+($C636-INDEX('Shultis Faw'!$A$2:$A$26,MATCH($C636,'Shultis Faw'!$A$2:$A$26,1)))*(INDEX('Shultis Faw'!$F$2:$F$26,MATCH($C636,'Shultis Faw'!$A$2:$A$26,1)+1)-INDEX('Shultis Faw'!$F$2:$F$26,MATCH($C636,'Shultis Faw'!$A$2:$A$26,1)))/(INDEX('Shultis Faw'!$A$2:$A$26,MATCH($C636,'Shultis Faw'!$A$2:$A$26,1)+1)-INDEX('Shultis Faw'!$A$2:$A$26,MATCH($C636,'Shultis Faw'!$A$2:$A$26,1))),$C636*'Shultis Faw'!$F$2/'Shultis Faw'!$A$2)</f>
        <v>14.245392000000001</v>
      </c>
      <c r="N636" s="83">
        <f>J636*(H636*'Externe blootstelling'!$D$23/2)^K636+L636*(TANH(((H636*'Externe blootstelling'!$D$23)/(2*M636))-2)-TANH(-2))/(1-TANH(-2))</f>
        <v>1.6079155530629816</v>
      </c>
      <c r="O636" s="83">
        <f>IF(N636=1,1+(I636-1)*H636*'Externe blootstelling'!$D$23/2,1+(I636-1)*(N636^(H636*'Externe blootstelling'!$D$23/2)-1)/(N636-1))</f>
        <v>2.946893046730386</v>
      </c>
      <c r="P636" s="67">
        <f>G636*EXP(-H636*'Externe blootstelling'!$D$23/2)*O636</f>
        <v>2.1304032804243122E-4</v>
      </c>
      <c r="Q636" s="68"/>
    </row>
    <row r="637" spans="1:17" x14ac:dyDescent="0.2">
      <c r="A637" s="217"/>
      <c r="B637" s="64" t="s">
        <v>104</v>
      </c>
      <c r="C637" s="66">
        <v>0.63170000000000004</v>
      </c>
      <c r="D637" s="66">
        <f t="shared" si="43"/>
        <v>1.01072E-13</v>
      </c>
      <c r="E637" s="66">
        <v>3.9999999999999998E-6</v>
      </c>
      <c r="F637" s="66">
        <f>_xlfn.IFNA(INDEX('hp (pSv cm2)'!$B$2:$B$52,MATCH($C637,'hp (pSv cm2)'!$A$2:$A$52,1))+($C637-INDEX('hp (pSv cm2)'!$A$2:$A$52,MATCH($C637,'hp (pSv cm2)'!$A$2:$A$52,1)))*(INDEX('hp (pSv cm2)'!$B$2:$B$52,MATCH($C637,'hp (pSv cm2)'!$A$2:$A$52,1)+1)-INDEX('hp (pSv cm2)'!$B$2:$B$52,MATCH($C637,'hp (pSv cm2)'!$A$2:$A$52,1)))/(INDEX('hp (pSv cm2)'!$A$2:$A$52,MATCH($C637,'hp (pSv cm2)'!$A$2:$A$52,1)+1)-INDEX('hp (pSv cm2)'!$A$2:$A$52,MATCH($C637,'hp (pSv cm2)'!$A$2:$A$52,1))),$C637*'hp (pSv cm2)'!$B$2/'hp (pSv cm2)'!$A$2)</f>
        <v>3.0399700000000003</v>
      </c>
      <c r="G637" s="67">
        <f t="shared" si="44"/>
        <v>1.2159880000000001E-5</v>
      </c>
      <c r="H637" s="83">
        <f>_xlfn.IFNA(0.997*(INDEX('Mass attenuation coefficients'!$B$2:$B$37,MATCH($C637,'Mass attenuation coefficients'!$A$2:$A$37,1))+($C637-INDEX('Mass attenuation coefficients'!$A$2:$A$37,MATCH($C637,'Mass attenuation coefficients'!$A$2:$A$37,1)))*(INDEX('Mass attenuation coefficients'!$B$2:$B$37,MATCH($C637,'Mass attenuation coefficients'!$A$2:$A$37,1)+1)-INDEX('Mass attenuation coefficients'!$B$2:$B$37,MATCH($C637,'Mass attenuation coefficients'!$A$2:$A$37,1)))/(INDEX('Mass attenuation coefficients'!$A$2:$A$37,MATCH($C637,'Mass attenuation coefficients'!$A$2:$A$37,1)+1)-INDEX('Mass attenuation coefficients'!$A$2:$A$37,MATCH($C637,'Mass attenuation coefficients'!$A$2:$A$37,1)))),0.997*$C637*'Mass attenuation coefficients'!$B$2/'Mass attenuation coefficients'!$A$2)</f>
        <v>8.756727270499999E-2</v>
      </c>
      <c r="I637" s="83">
        <f>_xlfn.IFNA(INDEX('Shultis Faw'!$C$2:$C$26,MATCH($C637,'Shultis Faw'!$A$2:$A$26,1))+($C637-INDEX('Shultis Faw'!$A$2:$A$26,MATCH($C637,'Shultis Faw'!$A$2:$A$26,1)))*(INDEX('Shultis Faw'!$C$2:$C$26,MATCH($C637,'Shultis Faw'!$A$2:$A$26,1)+1)-INDEX('Shultis Faw'!$C$2:$C$26,MATCH($C637,'Shultis Faw'!$A$2:$A$26,1)))/(INDEX('Shultis Faw'!$A$2:$A$26,MATCH($C637,'Shultis Faw'!$A$2:$A$26,1)+1)-INDEX('Shultis Faw'!$A$2:$A$26,MATCH($C637,'Shultis Faw'!$A$2:$A$26,1))),$C637*'Shultis Faw'!$C$2/'Shultis Faw'!$A$2)</f>
        <v>2.3508475</v>
      </c>
      <c r="J637" s="83">
        <f>_xlfn.IFNA(INDEX('Shultis Faw'!$D$2:$D$26,MATCH($C637,'Shultis Faw'!$A$2:$A$26,1))+($C637-INDEX('Shultis Faw'!$A$2:$A$26,MATCH($C637,'Shultis Faw'!$A$2:$A$26,1)))*(INDEX('Shultis Faw'!$D$2:$D$26,MATCH($C637,'Shultis Faw'!$A$2:$A$26,1)+1)-INDEX('Shultis Faw'!$D$2:$D$26,MATCH($C637,'Shultis Faw'!$A$2:$A$26,1)))/(INDEX('Shultis Faw'!$A$2:$A$26,MATCH($C637,'Shultis Faw'!$A$2:$A$26,1)+1)-INDEX('Shultis Faw'!$A$2:$A$26,MATCH($C637,'Shultis Faw'!$A$2:$A$26,1))),$C637*'Shultis Faw'!$D$2/'Shultis Faw'!$A$2)</f>
        <v>1.6576025000000001</v>
      </c>
      <c r="K637" s="83">
        <f>_xlfn.IFNA(INDEX('Shultis Faw'!$B$2:$B$26,MATCH($C637,'Shultis Faw'!$A$2:$A$26,1))+($C637-INDEX('Shultis Faw'!$A$2:$A$26,MATCH($C637,'Shultis Faw'!$A$2:$A$26,1)))*(INDEX('Shultis Faw'!$B$2:$B$26,MATCH($C637,'Shultis Faw'!$A$2:$A$26,1)+1)-INDEX('Shultis Faw'!$B$2:$B$26,MATCH($C637,'Shultis Faw'!$A$2:$A$26,1)))/(INDEX('Shultis Faw'!$A$2:$A$26,MATCH($C637,'Shultis Faw'!$A$2:$A$26,1)+1)-INDEX('Shultis Faw'!$A$2:$A$26,MATCH($C637,'Shultis Faw'!$A$2:$A$26,1))),$C637*'Shultis Faw'!$B$2/'Shultis Faw'!$A$2)</f>
        <v>-0.1209885</v>
      </c>
      <c r="L637" s="83">
        <f>_xlfn.IFNA(INDEX('Shultis Faw'!$E$2:$E$26,MATCH($C637,'Shultis Faw'!$A$2:$A$26,1))+($C637-INDEX('Shultis Faw'!$A$2:$A$26,MATCH($C637,'Shultis Faw'!$A$2:$A$26,1)))*(INDEX('Shultis Faw'!$E$2:$E$26,MATCH($C637,'Shultis Faw'!$A$2:$A$26,1)+1)-INDEX('Shultis Faw'!$E$2:$E$26,MATCH($C637,'Shultis Faw'!$A$2:$A$26,1)))/(INDEX('Shultis Faw'!$A$2:$A$26,MATCH($C637,'Shultis Faw'!$A$2:$A$26,1)+1)-INDEX('Shultis Faw'!$A$2:$A$26,MATCH($C637,'Shultis Faw'!$A$2:$A$26,1))),$C637*'Shultis Faw'!$E$2/'Shultis Faw'!$A$2)</f>
        <v>4.9253899999999996E-2</v>
      </c>
      <c r="M637" s="83">
        <f>_xlfn.IFNA(INDEX('Shultis Faw'!$F$2:$F$26,MATCH($C637,'Shultis Faw'!$A$2:$A$26,1))+($C637-INDEX('Shultis Faw'!$A$2:$A$26,MATCH($C637,'Shultis Faw'!$A$2:$A$26,1)))*(INDEX('Shultis Faw'!$F$2:$F$26,MATCH($C637,'Shultis Faw'!$A$2:$A$26,1)+1)-INDEX('Shultis Faw'!$F$2:$F$26,MATCH($C637,'Shultis Faw'!$A$2:$A$26,1)))/(INDEX('Shultis Faw'!$A$2:$A$26,MATCH($C637,'Shultis Faw'!$A$2:$A$26,1)+1)-INDEX('Shultis Faw'!$A$2:$A$26,MATCH($C637,'Shultis Faw'!$A$2:$A$26,1))),$C637*'Shultis Faw'!$F$2/'Shultis Faw'!$A$2)</f>
        <v>14.250605</v>
      </c>
      <c r="N637" s="83">
        <f>J637*(H637*'Externe blootstelling'!$D$23/2)^K637+L637*(TANH(((H637*'Externe blootstelling'!$D$23)/(2*M637))-2)-TANH(-2))/(1-TANH(-2))</f>
        <v>1.6039829007201427</v>
      </c>
      <c r="O637" s="83">
        <f>IF(N637=1,1+(I637-1)*H637*'Externe blootstelling'!$D$23/2,1+(I637-1)*(N637^(H637*'Externe blootstelling'!$D$23/2)-1)/(N637-1))</f>
        <v>2.9236264054465066</v>
      </c>
      <c r="P637" s="67">
        <f>G637*EXP(-H637*'Externe blootstelling'!$D$23/2)*O637</f>
        <v>9.5587568586569315E-6</v>
      </c>
      <c r="Q637" s="68"/>
    </row>
    <row r="638" spans="1:17" x14ac:dyDescent="0.2">
      <c r="A638" s="217"/>
      <c r="B638" s="64" t="s">
        <v>104</v>
      </c>
      <c r="C638" s="66">
        <v>0.64170000000000005</v>
      </c>
      <c r="D638" s="66">
        <f t="shared" si="43"/>
        <v>1.02672E-13</v>
      </c>
      <c r="E638" s="66">
        <v>1.7E-5</v>
      </c>
      <c r="F638" s="66">
        <f>_xlfn.IFNA(INDEX('hp (pSv cm2)'!$B$2:$B$52,MATCH($C638,'hp (pSv cm2)'!$A$2:$A$52,1))+($C638-INDEX('hp (pSv cm2)'!$A$2:$A$52,MATCH($C638,'hp (pSv cm2)'!$A$2:$A$52,1)))*(INDEX('hp (pSv cm2)'!$B$2:$B$52,MATCH($C638,'hp (pSv cm2)'!$A$2:$A$52,1)+1)-INDEX('hp (pSv cm2)'!$B$2:$B$52,MATCH($C638,'hp (pSv cm2)'!$A$2:$A$52,1)))/(INDEX('hp (pSv cm2)'!$A$2:$A$52,MATCH($C638,'hp (pSv cm2)'!$A$2:$A$52,1)+1)-INDEX('hp (pSv cm2)'!$A$2:$A$52,MATCH($C638,'hp (pSv cm2)'!$A$2:$A$52,1))),$C638*'hp (pSv cm2)'!$B$2/'hp (pSv cm2)'!$A$2)</f>
        <v>3.0809700000000002</v>
      </c>
      <c r="G638" s="67">
        <f t="shared" si="44"/>
        <v>5.2376490000000002E-5</v>
      </c>
      <c r="H638" s="83">
        <f>_xlfn.IFNA(0.997*(INDEX('Mass attenuation coefficients'!$B$2:$B$37,MATCH($C638,'Mass attenuation coefficients'!$A$2:$A$37,1))+($C638-INDEX('Mass attenuation coefficients'!$A$2:$A$37,MATCH($C638,'Mass attenuation coefficients'!$A$2:$A$37,1)))*(INDEX('Mass attenuation coefficients'!$B$2:$B$37,MATCH($C638,'Mass attenuation coefficients'!$A$2:$A$37,1)+1)-INDEX('Mass attenuation coefficients'!$B$2:$B$37,MATCH($C638,'Mass attenuation coefficients'!$A$2:$A$37,1)))/(INDEX('Mass attenuation coefficients'!$A$2:$A$37,MATCH($C638,'Mass attenuation coefficients'!$A$2:$A$37,1)+1)-INDEX('Mass attenuation coefficients'!$A$2:$A$37,MATCH($C638,'Mass attenuation coefficients'!$A$2:$A$37,1)))),0.997*$C638*'Mass attenuation coefficients'!$B$2/'Mass attenuation coefficients'!$A$2)</f>
        <v>8.7023409204999999E-2</v>
      </c>
      <c r="I638" s="83">
        <f>_xlfn.IFNA(INDEX('Shultis Faw'!$C$2:$C$26,MATCH($C638,'Shultis Faw'!$A$2:$A$26,1))+($C638-INDEX('Shultis Faw'!$A$2:$A$26,MATCH($C638,'Shultis Faw'!$A$2:$A$26,1)))*(INDEX('Shultis Faw'!$C$2:$C$26,MATCH($C638,'Shultis Faw'!$A$2:$A$26,1)+1)-INDEX('Shultis Faw'!$C$2:$C$26,MATCH($C638,'Shultis Faw'!$A$2:$A$26,1)))/(INDEX('Shultis Faw'!$A$2:$A$26,MATCH($C638,'Shultis Faw'!$A$2:$A$26,1)+1)-INDEX('Shultis Faw'!$A$2:$A$26,MATCH($C638,'Shultis Faw'!$A$2:$A$26,1))),$C638*'Shultis Faw'!$C$2/'Shultis Faw'!$A$2)</f>
        <v>2.3425974999999997</v>
      </c>
      <c r="J638" s="83">
        <f>_xlfn.IFNA(INDEX('Shultis Faw'!$D$2:$D$26,MATCH($C638,'Shultis Faw'!$A$2:$A$26,1))+($C638-INDEX('Shultis Faw'!$A$2:$A$26,MATCH($C638,'Shultis Faw'!$A$2:$A$26,1)))*(INDEX('Shultis Faw'!$D$2:$D$26,MATCH($C638,'Shultis Faw'!$A$2:$A$26,1)+1)-INDEX('Shultis Faw'!$D$2:$D$26,MATCH($C638,'Shultis Faw'!$A$2:$A$26,1)))/(INDEX('Shultis Faw'!$A$2:$A$26,MATCH($C638,'Shultis Faw'!$A$2:$A$26,1)+1)-INDEX('Shultis Faw'!$A$2:$A$26,MATCH($C638,'Shultis Faw'!$A$2:$A$26,1))),$C638*'Shultis Faw'!$D$2/'Shultis Faw'!$A$2)</f>
        <v>1.6508525000000001</v>
      </c>
      <c r="K638" s="83">
        <f>_xlfn.IFNA(INDEX('Shultis Faw'!$B$2:$B$26,MATCH($C638,'Shultis Faw'!$A$2:$A$26,1))+($C638-INDEX('Shultis Faw'!$A$2:$A$26,MATCH($C638,'Shultis Faw'!$A$2:$A$26,1)))*(INDEX('Shultis Faw'!$B$2:$B$26,MATCH($C638,'Shultis Faw'!$A$2:$A$26,1)+1)-INDEX('Shultis Faw'!$B$2:$B$26,MATCH($C638,'Shultis Faw'!$A$2:$A$26,1)))/(INDEX('Shultis Faw'!$A$2:$A$26,MATCH($C638,'Shultis Faw'!$A$2:$A$26,1)+1)-INDEX('Shultis Faw'!$A$2:$A$26,MATCH($C638,'Shultis Faw'!$A$2:$A$26,1))),$C638*'Shultis Faw'!$B$2/'Shultis Faw'!$A$2)</f>
        <v>-0.12003849999999999</v>
      </c>
      <c r="L638" s="83">
        <f>_xlfn.IFNA(INDEX('Shultis Faw'!$E$2:$E$26,MATCH($C638,'Shultis Faw'!$A$2:$A$26,1))+($C638-INDEX('Shultis Faw'!$A$2:$A$26,MATCH($C638,'Shultis Faw'!$A$2:$A$26,1)))*(INDEX('Shultis Faw'!$E$2:$E$26,MATCH($C638,'Shultis Faw'!$A$2:$A$26,1)+1)-INDEX('Shultis Faw'!$E$2:$E$26,MATCH($C638,'Shultis Faw'!$A$2:$A$26,1)))/(INDEX('Shultis Faw'!$A$2:$A$26,MATCH($C638,'Shultis Faw'!$A$2:$A$26,1)+1)-INDEX('Shultis Faw'!$A$2:$A$26,MATCH($C638,'Shultis Faw'!$A$2:$A$26,1))),$C638*'Shultis Faw'!$E$2/'Shultis Faw'!$A$2)</f>
        <v>4.8923899999999999E-2</v>
      </c>
      <c r="M638" s="83">
        <f>_xlfn.IFNA(INDEX('Shultis Faw'!$F$2:$F$26,MATCH($C638,'Shultis Faw'!$A$2:$A$26,1))+($C638-INDEX('Shultis Faw'!$A$2:$A$26,MATCH($C638,'Shultis Faw'!$A$2:$A$26,1)))*(INDEX('Shultis Faw'!$F$2:$F$26,MATCH($C638,'Shultis Faw'!$A$2:$A$26,1)+1)-INDEX('Shultis Faw'!$F$2:$F$26,MATCH($C638,'Shultis Faw'!$A$2:$A$26,1)))/(INDEX('Shultis Faw'!$A$2:$A$26,MATCH($C638,'Shultis Faw'!$A$2:$A$26,1)+1)-INDEX('Shultis Faw'!$A$2:$A$26,MATCH($C638,'Shultis Faw'!$A$2:$A$26,1))),$C638*'Shultis Faw'!$F$2/'Shultis Faw'!$A$2)</f>
        <v>14.257105000000001</v>
      </c>
      <c r="N638" s="83">
        <f>J638*(H638*'Externe blootstelling'!$D$23/2)^K638+L638*(TANH(((H638*'Externe blootstelling'!$D$23)/(2*M638))-2)-TANH(-2))/(1-TANH(-2))</f>
        <v>1.5990586376385627</v>
      </c>
      <c r="O638" s="83">
        <f>IF(N638=1,1+(I638-1)*H638*'Externe blootstelling'!$D$23/2,1+(I638-1)*(N638^(H638*'Externe blootstelling'!$D$23/2)-1)/(N638-1))</f>
        <v>2.8949220159444491</v>
      </c>
      <c r="P638" s="67">
        <f>G638*EXP(-H638*'Externe blootstelling'!$D$23/2)*O638</f>
        <v>4.1102332084778147E-5</v>
      </c>
      <c r="Q638" s="68"/>
    </row>
    <row r="639" spans="1:17" x14ac:dyDescent="0.2">
      <c r="A639" s="217"/>
      <c r="B639" s="64" t="s">
        <v>104</v>
      </c>
      <c r="C639" s="66">
        <v>0.64610000000000001</v>
      </c>
      <c r="D639" s="66">
        <f t="shared" si="43"/>
        <v>1.03376E-13</v>
      </c>
      <c r="E639" s="66">
        <v>3.9999999999999998E-6</v>
      </c>
      <c r="F639" s="66">
        <f>_xlfn.IFNA(INDEX('hp (pSv cm2)'!$B$2:$B$52,MATCH($C639,'hp (pSv cm2)'!$A$2:$A$52,1))+($C639-INDEX('hp (pSv cm2)'!$A$2:$A$52,MATCH($C639,'hp (pSv cm2)'!$A$2:$A$52,1)))*(INDEX('hp (pSv cm2)'!$B$2:$B$52,MATCH($C639,'hp (pSv cm2)'!$A$2:$A$52,1)+1)-INDEX('hp (pSv cm2)'!$B$2:$B$52,MATCH($C639,'hp (pSv cm2)'!$A$2:$A$52,1)))/(INDEX('hp (pSv cm2)'!$A$2:$A$52,MATCH($C639,'hp (pSv cm2)'!$A$2:$A$52,1)+1)-INDEX('hp (pSv cm2)'!$A$2:$A$52,MATCH($C639,'hp (pSv cm2)'!$A$2:$A$52,1))),$C639*'hp (pSv cm2)'!$B$2/'hp (pSv cm2)'!$A$2)</f>
        <v>3.0990100000000003</v>
      </c>
      <c r="G639" s="67">
        <f t="shared" si="44"/>
        <v>1.2396040000000001E-5</v>
      </c>
      <c r="H639" s="83">
        <f>_xlfn.IFNA(0.997*(INDEX('Mass attenuation coefficients'!$B$2:$B$37,MATCH($C639,'Mass attenuation coefficients'!$A$2:$A$37,1))+($C639-INDEX('Mass attenuation coefficients'!$A$2:$A$37,MATCH($C639,'Mass attenuation coefficients'!$A$2:$A$37,1)))*(INDEX('Mass attenuation coefficients'!$B$2:$B$37,MATCH($C639,'Mass attenuation coefficients'!$A$2:$A$37,1)+1)-INDEX('Mass attenuation coefficients'!$B$2:$B$37,MATCH($C639,'Mass attenuation coefficients'!$A$2:$A$37,1)))/(INDEX('Mass attenuation coefficients'!$A$2:$A$37,MATCH($C639,'Mass attenuation coefficients'!$A$2:$A$37,1)+1)-INDEX('Mass attenuation coefficients'!$A$2:$A$37,MATCH($C639,'Mass attenuation coefficients'!$A$2:$A$37,1)))),0.997*$C639*'Mass attenuation coefficients'!$B$2/'Mass attenuation coefficients'!$A$2)</f>
        <v>8.6784109264999992E-2</v>
      </c>
      <c r="I639" s="83">
        <f>_xlfn.IFNA(INDEX('Shultis Faw'!$C$2:$C$26,MATCH($C639,'Shultis Faw'!$A$2:$A$26,1))+($C639-INDEX('Shultis Faw'!$A$2:$A$26,MATCH($C639,'Shultis Faw'!$A$2:$A$26,1)))*(INDEX('Shultis Faw'!$C$2:$C$26,MATCH($C639,'Shultis Faw'!$A$2:$A$26,1)+1)-INDEX('Shultis Faw'!$C$2:$C$26,MATCH($C639,'Shultis Faw'!$A$2:$A$26,1)))/(INDEX('Shultis Faw'!$A$2:$A$26,MATCH($C639,'Shultis Faw'!$A$2:$A$26,1)+1)-INDEX('Shultis Faw'!$A$2:$A$26,MATCH($C639,'Shultis Faw'!$A$2:$A$26,1))),$C639*'Shultis Faw'!$C$2/'Shultis Faw'!$A$2)</f>
        <v>2.3389674999999999</v>
      </c>
      <c r="J639" s="83">
        <f>_xlfn.IFNA(INDEX('Shultis Faw'!$D$2:$D$26,MATCH($C639,'Shultis Faw'!$A$2:$A$26,1))+($C639-INDEX('Shultis Faw'!$A$2:$A$26,MATCH($C639,'Shultis Faw'!$A$2:$A$26,1)))*(INDEX('Shultis Faw'!$D$2:$D$26,MATCH($C639,'Shultis Faw'!$A$2:$A$26,1)+1)-INDEX('Shultis Faw'!$D$2:$D$26,MATCH($C639,'Shultis Faw'!$A$2:$A$26,1)))/(INDEX('Shultis Faw'!$A$2:$A$26,MATCH($C639,'Shultis Faw'!$A$2:$A$26,1)+1)-INDEX('Shultis Faw'!$A$2:$A$26,MATCH($C639,'Shultis Faw'!$A$2:$A$26,1))),$C639*'Shultis Faw'!$D$2/'Shultis Faw'!$A$2)</f>
        <v>1.6478825000000001</v>
      </c>
      <c r="K639" s="83">
        <f>_xlfn.IFNA(INDEX('Shultis Faw'!$B$2:$B$26,MATCH($C639,'Shultis Faw'!$A$2:$A$26,1))+($C639-INDEX('Shultis Faw'!$A$2:$A$26,MATCH($C639,'Shultis Faw'!$A$2:$A$26,1)))*(INDEX('Shultis Faw'!$B$2:$B$26,MATCH($C639,'Shultis Faw'!$A$2:$A$26,1)+1)-INDEX('Shultis Faw'!$B$2:$B$26,MATCH($C639,'Shultis Faw'!$A$2:$A$26,1)))/(INDEX('Shultis Faw'!$A$2:$A$26,MATCH($C639,'Shultis Faw'!$A$2:$A$26,1)+1)-INDEX('Shultis Faw'!$A$2:$A$26,MATCH($C639,'Shultis Faw'!$A$2:$A$26,1))),$C639*'Shultis Faw'!$B$2/'Shultis Faw'!$A$2)</f>
        <v>-0.11962049999999999</v>
      </c>
      <c r="L639" s="83">
        <f>_xlfn.IFNA(INDEX('Shultis Faw'!$E$2:$E$26,MATCH($C639,'Shultis Faw'!$A$2:$A$26,1))+($C639-INDEX('Shultis Faw'!$A$2:$A$26,MATCH($C639,'Shultis Faw'!$A$2:$A$26,1)))*(INDEX('Shultis Faw'!$E$2:$E$26,MATCH($C639,'Shultis Faw'!$A$2:$A$26,1)+1)-INDEX('Shultis Faw'!$E$2:$E$26,MATCH($C639,'Shultis Faw'!$A$2:$A$26,1)))/(INDEX('Shultis Faw'!$A$2:$A$26,MATCH($C639,'Shultis Faw'!$A$2:$A$26,1)+1)-INDEX('Shultis Faw'!$A$2:$A$26,MATCH($C639,'Shultis Faw'!$A$2:$A$26,1))),$C639*'Shultis Faw'!$E$2/'Shultis Faw'!$A$2)</f>
        <v>4.8778700000000001E-2</v>
      </c>
      <c r="M639" s="83">
        <f>_xlfn.IFNA(INDEX('Shultis Faw'!$F$2:$F$26,MATCH($C639,'Shultis Faw'!$A$2:$A$26,1))+($C639-INDEX('Shultis Faw'!$A$2:$A$26,MATCH($C639,'Shultis Faw'!$A$2:$A$26,1)))*(INDEX('Shultis Faw'!$F$2:$F$26,MATCH($C639,'Shultis Faw'!$A$2:$A$26,1)+1)-INDEX('Shultis Faw'!$F$2:$F$26,MATCH($C639,'Shultis Faw'!$A$2:$A$26,1)))/(INDEX('Shultis Faw'!$A$2:$A$26,MATCH($C639,'Shultis Faw'!$A$2:$A$26,1)+1)-INDEX('Shultis Faw'!$A$2:$A$26,MATCH($C639,'Shultis Faw'!$A$2:$A$26,1))),$C639*'Shultis Faw'!$F$2/'Shultis Faw'!$A$2)</f>
        <v>14.259964999999999</v>
      </c>
      <c r="N639" s="83">
        <f>J639*(H639*'Externe blootstelling'!$D$23/2)^K639+L639*(TANH(((H639*'Externe blootstelling'!$D$23)/(2*M639))-2)-TANH(-2))/(1-TANH(-2))</f>
        <v>1.5968846821097735</v>
      </c>
      <c r="O639" s="83">
        <f>IF(N639=1,1+(I639-1)*H639*'Externe blootstelling'!$D$23/2,1+(I639-1)*(N639^(H639*'Externe blootstelling'!$D$23/2)-1)/(N639-1))</f>
        <v>2.8823989490309496</v>
      </c>
      <c r="P639" s="67">
        <f>G639*EXP(-H639*'Externe blootstelling'!$D$23/2)*O639</f>
        <v>9.7205125020274195E-6</v>
      </c>
      <c r="Q639" s="68"/>
    </row>
    <row r="640" spans="1:17" x14ac:dyDescent="0.2">
      <c r="A640" s="217"/>
      <c r="B640" s="64" t="s">
        <v>104</v>
      </c>
      <c r="C640" s="66">
        <v>0.69689999999999996</v>
      </c>
      <c r="D640" s="66">
        <f t="shared" si="43"/>
        <v>1.1150399999999999E-13</v>
      </c>
      <c r="E640" s="66">
        <v>6.9999999999999999E-6</v>
      </c>
      <c r="F640" s="66">
        <f>_xlfn.IFNA(INDEX('hp (pSv cm2)'!$B$2:$B$52,MATCH($C640,'hp (pSv cm2)'!$A$2:$A$52,1))+($C640-INDEX('hp (pSv cm2)'!$A$2:$A$52,MATCH($C640,'hp (pSv cm2)'!$A$2:$A$52,1)))*(INDEX('hp (pSv cm2)'!$B$2:$B$52,MATCH($C640,'hp (pSv cm2)'!$A$2:$A$52,1)+1)-INDEX('hp (pSv cm2)'!$B$2:$B$52,MATCH($C640,'hp (pSv cm2)'!$A$2:$A$52,1)))/(INDEX('hp (pSv cm2)'!$A$2:$A$52,MATCH($C640,'hp (pSv cm2)'!$A$2:$A$52,1)+1)-INDEX('hp (pSv cm2)'!$A$2:$A$52,MATCH($C640,'hp (pSv cm2)'!$A$2:$A$52,1))),$C640*'hp (pSv cm2)'!$B$2/'hp (pSv cm2)'!$A$2)</f>
        <v>3.3072900000000001</v>
      </c>
      <c r="G640" s="67">
        <f t="shared" si="44"/>
        <v>2.3151030000000001E-5</v>
      </c>
      <c r="H640" s="83">
        <f>_xlfn.IFNA(0.997*(INDEX('Mass attenuation coefficients'!$B$2:$B$37,MATCH($C640,'Mass attenuation coefficients'!$A$2:$A$37,1))+($C640-INDEX('Mass attenuation coefficients'!$A$2:$A$37,MATCH($C640,'Mass attenuation coefficients'!$A$2:$A$37,1)))*(INDEX('Mass attenuation coefficients'!$B$2:$B$37,MATCH($C640,'Mass attenuation coefficients'!$A$2:$A$37,1)+1)-INDEX('Mass attenuation coefficients'!$B$2:$B$37,MATCH($C640,'Mass attenuation coefficients'!$A$2:$A$37,1)))/(INDEX('Mass attenuation coefficients'!$A$2:$A$37,MATCH($C640,'Mass attenuation coefficients'!$A$2:$A$37,1)+1)-INDEX('Mass attenuation coefficients'!$A$2:$A$37,MATCH($C640,'Mass attenuation coefficients'!$A$2:$A$37,1)))),0.997*$C640*'Mass attenuation coefficients'!$B$2/'Mass attenuation coefficients'!$A$2)</f>
        <v>8.4021282685000004E-2</v>
      </c>
      <c r="I640" s="83">
        <f>_xlfn.IFNA(INDEX('Shultis Faw'!$C$2:$C$26,MATCH($C640,'Shultis Faw'!$A$2:$A$26,1))+($C640-INDEX('Shultis Faw'!$A$2:$A$26,MATCH($C640,'Shultis Faw'!$A$2:$A$26,1)))*(INDEX('Shultis Faw'!$C$2:$C$26,MATCH($C640,'Shultis Faw'!$A$2:$A$26,1)+1)-INDEX('Shultis Faw'!$C$2:$C$26,MATCH($C640,'Shultis Faw'!$A$2:$A$26,1)))/(INDEX('Shultis Faw'!$A$2:$A$26,MATCH($C640,'Shultis Faw'!$A$2:$A$26,1)+1)-INDEX('Shultis Faw'!$A$2:$A$26,MATCH($C640,'Shultis Faw'!$A$2:$A$26,1))),$C640*'Shultis Faw'!$C$2/'Shultis Faw'!$A$2)</f>
        <v>2.2970575000000002</v>
      </c>
      <c r="J640" s="83">
        <f>_xlfn.IFNA(INDEX('Shultis Faw'!$D$2:$D$26,MATCH($C640,'Shultis Faw'!$A$2:$A$26,1))+($C640-INDEX('Shultis Faw'!$A$2:$A$26,MATCH($C640,'Shultis Faw'!$A$2:$A$26,1)))*(INDEX('Shultis Faw'!$D$2:$D$26,MATCH($C640,'Shultis Faw'!$A$2:$A$26,1)+1)-INDEX('Shultis Faw'!$D$2:$D$26,MATCH($C640,'Shultis Faw'!$A$2:$A$26,1)))/(INDEX('Shultis Faw'!$A$2:$A$26,MATCH($C640,'Shultis Faw'!$A$2:$A$26,1)+1)-INDEX('Shultis Faw'!$A$2:$A$26,MATCH($C640,'Shultis Faw'!$A$2:$A$26,1))),$C640*'Shultis Faw'!$D$2/'Shultis Faw'!$A$2)</f>
        <v>1.6135925</v>
      </c>
      <c r="K640" s="83">
        <f>_xlfn.IFNA(INDEX('Shultis Faw'!$B$2:$B$26,MATCH($C640,'Shultis Faw'!$A$2:$A$26,1))+($C640-INDEX('Shultis Faw'!$A$2:$A$26,MATCH($C640,'Shultis Faw'!$A$2:$A$26,1)))*(INDEX('Shultis Faw'!$B$2:$B$26,MATCH($C640,'Shultis Faw'!$A$2:$A$26,1)+1)-INDEX('Shultis Faw'!$B$2:$B$26,MATCH($C640,'Shultis Faw'!$A$2:$A$26,1)))/(INDEX('Shultis Faw'!$A$2:$A$26,MATCH($C640,'Shultis Faw'!$A$2:$A$26,1)+1)-INDEX('Shultis Faw'!$A$2:$A$26,MATCH($C640,'Shultis Faw'!$A$2:$A$26,1))),$C640*'Shultis Faw'!$B$2/'Shultis Faw'!$A$2)</f>
        <v>-0.11479450000000001</v>
      </c>
      <c r="L640" s="83">
        <f>_xlfn.IFNA(INDEX('Shultis Faw'!$E$2:$E$26,MATCH($C640,'Shultis Faw'!$A$2:$A$26,1))+($C640-INDEX('Shultis Faw'!$A$2:$A$26,MATCH($C640,'Shultis Faw'!$A$2:$A$26,1)))*(INDEX('Shultis Faw'!$E$2:$E$26,MATCH($C640,'Shultis Faw'!$A$2:$A$26,1)+1)-INDEX('Shultis Faw'!$E$2:$E$26,MATCH($C640,'Shultis Faw'!$A$2:$A$26,1)))/(INDEX('Shultis Faw'!$A$2:$A$26,MATCH($C640,'Shultis Faw'!$A$2:$A$26,1)+1)-INDEX('Shultis Faw'!$A$2:$A$26,MATCH($C640,'Shultis Faw'!$A$2:$A$26,1))),$C640*'Shultis Faw'!$E$2/'Shultis Faw'!$A$2)</f>
        <v>4.71023E-2</v>
      </c>
      <c r="M640" s="83">
        <f>_xlfn.IFNA(INDEX('Shultis Faw'!$F$2:$F$26,MATCH($C640,'Shultis Faw'!$A$2:$A$26,1))+($C640-INDEX('Shultis Faw'!$A$2:$A$26,MATCH($C640,'Shultis Faw'!$A$2:$A$26,1)))*(INDEX('Shultis Faw'!$F$2:$F$26,MATCH($C640,'Shultis Faw'!$A$2:$A$26,1)+1)-INDEX('Shultis Faw'!$F$2:$F$26,MATCH($C640,'Shultis Faw'!$A$2:$A$26,1)))/(INDEX('Shultis Faw'!$A$2:$A$26,MATCH($C640,'Shultis Faw'!$A$2:$A$26,1)+1)-INDEX('Shultis Faw'!$A$2:$A$26,MATCH($C640,'Shultis Faw'!$A$2:$A$26,1))),$C640*'Shultis Faw'!$F$2/'Shultis Faw'!$A$2)</f>
        <v>14.292985</v>
      </c>
      <c r="N640" s="83">
        <f>J640*(H640*'Externe blootstelling'!$D$23/2)^K640+L640*(TANH(((H640*'Externe blootstelling'!$D$23)/(2*M640))-2)-TANH(-2))/(1-TANH(-2))</f>
        <v>1.5714633313039617</v>
      </c>
      <c r="O640" s="83">
        <f>IF(N640=1,1+(I640-1)*H640*'Externe blootstelling'!$D$23/2,1+(I640-1)*(N640^(H640*'Externe blootstelling'!$D$23/2)-1)/(N640-1))</f>
        <v>2.7424348966915524</v>
      </c>
      <c r="P640" s="67">
        <f>G640*EXP(-H640*'Externe blootstelling'!$D$23/2)*O640</f>
        <v>1.8003500404766466E-5</v>
      </c>
      <c r="Q640" s="68"/>
    </row>
    <row r="641" spans="1:17" x14ac:dyDescent="0.2">
      <c r="A641" s="217"/>
      <c r="B641" s="64" t="s">
        <v>104</v>
      </c>
      <c r="C641" s="66">
        <v>0.71129999999999993</v>
      </c>
      <c r="D641" s="66">
        <f t="shared" si="43"/>
        <v>1.1380799999999998E-13</v>
      </c>
      <c r="E641" s="66">
        <v>3.7000000000000005E-5</v>
      </c>
      <c r="F641" s="66">
        <f>_xlfn.IFNA(INDEX('hp (pSv cm2)'!$B$2:$B$52,MATCH($C641,'hp (pSv cm2)'!$A$2:$A$52,1))+($C641-INDEX('hp (pSv cm2)'!$A$2:$A$52,MATCH($C641,'hp (pSv cm2)'!$A$2:$A$52,1)))*(INDEX('hp (pSv cm2)'!$B$2:$B$52,MATCH($C641,'hp (pSv cm2)'!$A$2:$A$52,1)+1)-INDEX('hp (pSv cm2)'!$B$2:$B$52,MATCH($C641,'hp (pSv cm2)'!$A$2:$A$52,1)))/(INDEX('hp (pSv cm2)'!$A$2:$A$52,MATCH($C641,'hp (pSv cm2)'!$A$2:$A$52,1)+1)-INDEX('hp (pSv cm2)'!$A$2:$A$52,MATCH($C641,'hp (pSv cm2)'!$A$2:$A$52,1))),$C641*'hp (pSv cm2)'!$B$2/'hp (pSv cm2)'!$A$2)</f>
        <v>3.3663299999999996</v>
      </c>
      <c r="G641" s="67">
        <f t="shared" si="44"/>
        <v>1.2455421E-4</v>
      </c>
      <c r="H641" s="83">
        <f>_xlfn.IFNA(0.997*(INDEX('Mass attenuation coefficients'!$B$2:$B$37,MATCH($C641,'Mass attenuation coefficients'!$A$2:$A$37,1))+($C641-INDEX('Mass attenuation coefficients'!$A$2:$A$37,MATCH($C641,'Mass attenuation coefficients'!$A$2:$A$37,1)))*(INDEX('Mass attenuation coefficients'!$B$2:$B$37,MATCH($C641,'Mass attenuation coefficients'!$A$2:$A$37,1)+1)-INDEX('Mass attenuation coefficients'!$B$2:$B$37,MATCH($C641,'Mass attenuation coefficients'!$A$2:$A$37,1)))/(INDEX('Mass attenuation coefficients'!$A$2:$A$37,MATCH($C641,'Mass attenuation coefficients'!$A$2:$A$37,1)+1)-INDEX('Mass attenuation coefficients'!$A$2:$A$37,MATCH($C641,'Mass attenuation coefficients'!$A$2:$A$37,1)))),0.997*$C641*'Mass attenuation coefficients'!$B$2/'Mass attenuation coefficients'!$A$2)</f>
        <v>8.3238119245000006E-2</v>
      </c>
      <c r="I641" s="83">
        <f>_xlfn.IFNA(INDEX('Shultis Faw'!$C$2:$C$26,MATCH($C641,'Shultis Faw'!$A$2:$A$26,1))+($C641-INDEX('Shultis Faw'!$A$2:$A$26,MATCH($C641,'Shultis Faw'!$A$2:$A$26,1)))*(INDEX('Shultis Faw'!$C$2:$C$26,MATCH($C641,'Shultis Faw'!$A$2:$A$26,1)+1)-INDEX('Shultis Faw'!$C$2:$C$26,MATCH($C641,'Shultis Faw'!$A$2:$A$26,1)))/(INDEX('Shultis Faw'!$A$2:$A$26,MATCH($C641,'Shultis Faw'!$A$2:$A$26,1)+1)-INDEX('Shultis Faw'!$A$2:$A$26,MATCH($C641,'Shultis Faw'!$A$2:$A$26,1))),$C641*'Shultis Faw'!$C$2/'Shultis Faw'!$A$2)</f>
        <v>2.2851775000000001</v>
      </c>
      <c r="J641" s="83">
        <f>_xlfn.IFNA(INDEX('Shultis Faw'!$D$2:$D$26,MATCH($C641,'Shultis Faw'!$A$2:$A$26,1))+($C641-INDEX('Shultis Faw'!$A$2:$A$26,MATCH($C641,'Shultis Faw'!$A$2:$A$26,1)))*(INDEX('Shultis Faw'!$D$2:$D$26,MATCH($C641,'Shultis Faw'!$A$2:$A$26,1)+1)-INDEX('Shultis Faw'!$D$2:$D$26,MATCH($C641,'Shultis Faw'!$A$2:$A$26,1)))/(INDEX('Shultis Faw'!$A$2:$A$26,MATCH($C641,'Shultis Faw'!$A$2:$A$26,1)+1)-INDEX('Shultis Faw'!$A$2:$A$26,MATCH($C641,'Shultis Faw'!$A$2:$A$26,1))),$C641*'Shultis Faw'!$D$2/'Shultis Faw'!$A$2)</f>
        <v>1.6038725</v>
      </c>
      <c r="K641" s="83">
        <f>_xlfn.IFNA(INDEX('Shultis Faw'!$B$2:$B$26,MATCH($C641,'Shultis Faw'!$A$2:$A$26,1))+($C641-INDEX('Shultis Faw'!$A$2:$A$26,MATCH($C641,'Shultis Faw'!$A$2:$A$26,1)))*(INDEX('Shultis Faw'!$B$2:$B$26,MATCH($C641,'Shultis Faw'!$A$2:$A$26,1)+1)-INDEX('Shultis Faw'!$B$2:$B$26,MATCH($C641,'Shultis Faw'!$A$2:$A$26,1)))/(INDEX('Shultis Faw'!$A$2:$A$26,MATCH($C641,'Shultis Faw'!$A$2:$A$26,1)+1)-INDEX('Shultis Faw'!$A$2:$A$26,MATCH($C641,'Shultis Faw'!$A$2:$A$26,1))),$C641*'Shultis Faw'!$B$2/'Shultis Faw'!$A$2)</f>
        <v>-0.11342650000000001</v>
      </c>
      <c r="L641" s="83">
        <f>_xlfn.IFNA(INDEX('Shultis Faw'!$E$2:$E$26,MATCH($C641,'Shultis Faw'!$A$2:$A$26,1))+($C641-INDEX('Shultis Faw'!$A$2:$A$26,MATCH($C641,'Shultis Faw'!$A$2:$A$26,1)))*(INDEX('Shultis Faw'!$E$2:$E$26,MATCH($C641,'Shultis Faw'!$A$2:$A$26,1)+1)-INDEX('Shultis Faw'!$E$2:$E$26,MATCH($C641,'Shultis Faw'!$A$2:$A$26,1)))/(INDEX('Shultis Faw'!$A$2:$A$26,MATCH($C641,'Shultis Faw'!$A$2:$A$26,1)+1)-INDEX('Shultis Faw'!$A$2:$A$26,MATCH($C641,'Shultis Faw'!$A$2:$A$26,1))),$C641*'Shultis Faw'!$E$2/'Shultis Faw'!$A$2)</f>
        <v>4.6627100000000005E-2</v>
      </c>
      <c r="M641" s="83">
        <f>_xlfn.IFNA(INDEX('Shultis Faw'!$F$2:$F$26,MATCH($C641,'Shultis Faw'!$A$2:$A$26,1))+($C641-INDEX('Shultis Faw'!$A$2:$A$26,MATCH($C641,'Shultis Faw'!$A$2:$A$26,1)))*(INDEX('Shultis Faw'!$F$2:$F$26,MATCH($C641,'Shultis Faw'!$A$2:$A$26,1)+1)-INDEX('Shultis Faw'!$F$2:$F$26,MATCH($C641,'Shultis Faw'!$A$2:$A$26,1)))/(INDEX('Shultis Faw'!$A$2:$A$26,MATCH($C641,'Shultis Faw'!$A$2:$A$26,1)+1)-INDEX('Shultis Faw'!$A$2:$A$26,MATCH($C641,'Shultis Faw'!$A$2:$A$26,1))),$C641*'Shultis Faw'!$F$2/'Shultis Faw'!$A$2)</f>
        <v>14.302344999999999</v>
      </c>
      <c r="N641" s="83">
        <f>J641*(H641*'Externe blootstelling'!$D$23/2)^K641+L641*(TANH(((H641*'Externe blootstelling'!$D$23)/(2*M641))-2)-TANH(-2))/(1-TANH(-2))</f>
        <v>1.5641495144066364</v>
      </c>
      <c r="O641" s="83">
        <f>IF(N641=1,1+(I641-1)*H641*'Externe blootstelling'!$D$23/2,1+(I641-1)*(N641^(H641*'Externe blootstelling'!$D$23/2)-1)/(N641-1))</f>
        <v>2.7042688249904807</v>
      </c>
      <c r="P641" s="67">
        <f>G641*EXP(-H641*'Externe blootstelling'!$D$23/2)*O641</f>
        <v>9.6640781890989234E-5</v>
      </c>
      <c r="Q641" s="68"/>
    </row>
    <row r="642" spans="1:17" x14ac:dyDescent="0.2">
      <c r="A642" s="217"/>
      <c r="B642" s="64" t="s">
        <v>104</v>
      </c>
      <c r="C642" s="66">
        <v>0.71839999999999993</v>
      </c>
      <c r="D642" s="66">
        <f t="shared" si="43"/>
        <v>1.1494399999999997E-13</v>
      </c>
      <c r="E642" s="66">
        <v>1.4E-5</v>
      </c>
      <c r="F642" s="66">
        <f>_xlfn.IFNA(INDEX('hp (pSv cm2)'!$B$2:$B$52,MATCH($C642,'hp (pSv cm2)'!$A$2:$A$52,1))+($C642-INDEX('hp (pSv cm2)'!$A$2:$A$52,MATCH($C642,'hp (pSv cm2)'!$A$2:$A$52,1)))*(INDEX('hp (pSv cm2)'!$B$2:$B$52,MATCH($C642,'hp (pSv cm2)'!$A$2:$A$52,1)+1)-INDEX('hp (pSv cm2)'!$B$2:$B$52,MATCH($C642,'hp (pSv cm2)'!$A$2:$A$52,1)))/(INDEX('hp (pSv cm2)'!$A$2:$A$52,MATCH($C642,'hp (pSv cm2)'!$A$2:$A$52,1)+1)-INDEX('hp (pSv cm2)'!$A$2:$A$52,MATCH($C642,'hp (pSv cm2)'!$A$2:$A$52,1))),$C642*'hp (pSv cm2)'!$B$2/'hp (pSv cm2)'!$A$2)</f>
        <v>3.3954399999999998</v>
      </c>
      <c r="G642" s="67">
        <f t="shared" si="44"/>
        <v>4.7536159999999998E-5</v>
      </c>
      <c r="H642" s="83">
        <f>_xlfn.IFNA(0.997*(INDEX('Mass attenuation coefficients'!$B$2:$B$37,MATCH($C642,'Mass attenuation coefficients'!$A$2:$A$37,1))+($C642-INDEX('Mass attenuation coefficients'!$A$2:$A$37,MATCH($C642,'Mass attenuation coefficients'!$A$2:$A$37,1)))*(INDEX('Mass attenuation coefficients'!$B$2:$B$37,MATCH($C642,'Mass attenuation coefficients'!$A$2:$A$37,1)+1)-INDEX('Mass attenuation coefficients'!$B$2:$B$37,MATCH($C642,'Mass attenuation coefficients'!$A$2:$A$37,1)))/(INDEX('Mass attenuation coefficients'!$A$2:$A$37,MATCH($C642,'Mass attenuation coefficients'!$A$2:$A$37,1)+1)-INDEX('Mass attenuation coefficients'!$A$2:$A$37,MATCH($C642,'Mass attenuation coefficients'!$A$2:$A$37,1)))),0.997*$C642*'Mass attenuation coefficients'!$B$2/'Mass attenuation coefficients'!$A$2)</f>
        <v>8.2851976159999993E-2</v>
      </c>
      <c r="I642" s="83">
        <f>_xlfn.IFNA(INDEX('Shultis Faw'!$C$2:$C$26,MATCH($C642,'Shultis Faw'!$A$2:$A$26,1))+($C642-INDEX('Shultis Faw'!$A$2:$A$26,MATCH($C642,'Shultis Faw'!$A$2:$A$26,1)))*(INDEX('Shultis Faw'!$C$2:$C$26,MATCH($C642,'Shultis Faw'!$A$2:$A$26,1)+1)-INDEX('Shultis Faw'!$C$2:$C$26,MATCH($C642,'Shultis Faw'!$A$2:$A$26,1)))/(INDEX('Shultis Faw'!$A$2:$A$26,MATCH($C642,'Shultis Faw'!$A$2:$A$26,1)+1)-INDEX('Shultis Faw'!$A$2:$A$26,MATCH($C642,'Shultis Faw'!$A$2:$A$26,1))),$C642*'Shultis Faw'!$C$2/'Shultis Faw'!$A$2)</f>
        <v>2.2793200000000002</v>
      </c>
      <c r="J642" s="83">
        <f>_xlfn.IFNA(INDEX('Shultis Faw'!$D$2:$D$26,MATCH($C642,'Shultis Faw'!$A$2:$A$26,1))+($C642-INDEX('Shultis Faw'!$A$2:$A$26,MATCH($C642,'Shultis Faw'!$A$2:$A$26,1)))*(INDEX('Shultis Faw'!$D$2:$D$26,MATCH($C642,'Shultis Faw'!$A$2:$A$26,1)+1)-INDEX('Shultis Faw'!$D$2:$D$26,MATCH($C642,'Shultis Faw'!$A$2:$A$26,1)))/(INDEX('Shultis Faw'!$A$2:$A$26,MATCH($C642,'Shultis Faw'!$A$2:$A$26,1)+1)-INDEX('Shultis Faw'!$A$2:$A$26,MATCH($C642,'Shultis Faw'!$A$2:$A$26,1))),$C642*'Shultis Faw'!$D$2/'Shultis Faw'!$A$2)</f>
        <v>1.5990800000000001</v>
      </c>
      <c r="K642" s="83">
        <f>_xlfn.IFNA(INDEX('Shultis Faw'!$B$2:$B$26,MATCH($C642,'Shultis Faw'!$A$2:$A$26,1))+($C642-INDEX('Shultis Faw'!$A$2:$A$26,MATCH($C642,'Shultis Faw'!$A$2:$A$26,1)))*(INDEX('Shultis Faw'!$B$2:$B$26,MATCH($C642,'Shultis Faw'!$A$2:$A$26,1)+1)-INDEX('Shultis Faw'!$B$2:$B$26,MATCH($C642,'Shultis Faw'!$A$2:$A$26,1)))/(INDEX('Shultis Faw'!$A$2:$A$26,MATCH($C642,'Shultis Faw'!$A$2:$A$26,1)+1)-INDEX('Shultis Faw'!$A$2:$A$26,MATCH($C642,'Shultis Faw'!$A$2:$A$26,1))),$C642*'Shultis Faw'!$B$2/'Shultis Faw'!$A$2)</f>
        <v>-0.112752</v>
      </c>
      <c r="L642" s="83">
        <f>_xlfn.IFNA(INDEX('Shultis Faw'!$E$2:$E$26,MATCH($C642,'Shultis Faw'!$A$2:$A$26,1))+($C642-INDEX('Shultis Faw'!$A$2:$A$26,MATCH($C642,'Shultis Faw'!$A$2:$A$26,1)))*(INDEX('Shultis Faw'!$E$2:$E$26,MATCH($C642,'Shultis Faw'!$A$2:$A$26,1)+1)-INDEX('Shultis Faw'!$E$2:$E$26,MATCH($C642,'Shultis Faw'!$A$2:$A$26,1)))/(INDEX('Shultis Faw'!$A$2:$A$26,MATCH($C642,'Shultis Faw'!$A$2:$A$26,1)+1)-INDEX('Shultis Faw'!$A$2:$A$26,MATCH($C642,'Shultis Faw'!$A$2:$A$26,1))),$C642*'Shultis Faw'!$E$2/'Shultis Faw'!$A$2)</f>
        <v>4.6392800000000005E-2</v>
      </c>
      <c r="M642" s="83">
        <f>_xlfn.IFNA(INDEX('Shultis Faw'!$F$2:$F$26,MATCH($C642,'Shultis Faw'!$A$2:$A$26,1))+($C642-INDEX('Shultis Faw'!$A$2:$A$26,MATCH($C642,'Shultis Faw'!$A$2:$A$26,1)))*(INDEX('Shultis Faw'!$F$2:$F$26,MATCH($C642,'Shultis Faw'!$A$2:$A$26,1)+1)-INDEX('Shultis Faw'!$F$2:$F$26,MATCH($C642,'Shultis Faw'!$A$2:$A$26,1)))/(INDEX('Shultis Faw'!$A$2:$A$26,MATCH($C642,'Shultis Faw'!$A$2:$A$26,1)+1)-INDEX('Shultis Faw'!$A$2:$A$26,MATCH($C642,'Shultis Faw'!$A$2:$A$26,1))),$C642*'Shultis Faw'!$F$2/'Shultis Faw'!$A$2)</f>
        <v>14.30696</v>
      </c>
      <c r="N642" s="83">
        <f>J642*(H642*'Externe blootstelling'!$D$23/2)^K642+L642*(TANH(((H642*'Externe blootstelling'!$D$23)/(2*M642))-2)-TANH(-2))/(1-TANH(-2))</f>
        <v>1.5605258875822396</v>
      </c>
      <c r="O642" s="83">
        <f>IF(N642=1,1+(I642-1)*H642*'Externe blootstelling'!$D$23/2,1+(I642-1)*(N642^(H642*'Externe blootstelling'!$D$23/2)-1)/(N642-1))</f>
        <v>2.6856898077408751</v>
      </c>
      <c r="P642" s="67">
        <f>G642*EXP(-H642*'Externe blootstelling'!$D$23/2)*O642</f>
        <v>3.6842373950211573E-5</v>
      </c>
      <c r="Q642" s="68"/>
    </row>
    <row r="643" spans="1:17" x14ac:dyDescent="0.2">
      <c r="A643" s="217"/>
      <c r="B643" s="64" t="s">
        <v>104</v>
      </c>
      <c r="C643" s="66">
        <v>0.72839999999999994</v>
      </c>
      <c r="D643" s="66">
        <f t="shared" si="43"/>
        <v>1.1654399999999996E-13</v>
      </c>
      <c r="E643" s="66">
        <v>2.7999999999999999E-6</v>
      </c>
      <c r="F643" s="66">
        <f>_xlfn.IFNA(INDEX('hp (pSv cm2)'!$B$2:$B$52,MATCH($C643,'hp (pSv cm2)'!$A$2:$A$52,1))+($C643-INDEX('hp (pSv cm2)'!$A$2:$A$52,MATCH($C643,'hp (pSv cm2)'!$A$2:$A$52,1)))*(INDEX('hp (pSv cm2)'!$B$2:$B$52,MATCH($C643,'hp (pSv cm2)'!$A$2:$A$52,1)+1)-INDEX('hp (pSv cm2)'!$B$2:$B$52,MATCH($C643,'hp (pSv cm2)'!$A$2:$A$52,1)))/(INDEX('hp (pSv cm2)'!$A$2:$A$52,MATCH($C643,'hp (pSv cm2)'!$A$2:$A$52,1)+1)-INDEX('hp (pSv cm2)'!$A$2:$A$52,MATCH($C643,'hp (pSv cm2)'!$A$2:$A$52,1))),$C643*'hp (pSv cm2)'!$B$2/'hp (pSv cm2)'!$A$2)</f>
        <v>3.4364399999999997</v>
      </c>
      <c r="G643" s="67">
        <f t="shared" si="44"/>
        <v>9.6220319999999996E-6</v>
      </c>
      <c r="H643" s="83">
        <f>_xlfn.IFNA(0.997*(INDEX('Mass attenuation coefficients'!$B$2:$B$37,MATCH($C643,'Mass attenuation coefficients'!$A$2:$A$37,1))+($C643-INDEX('Mass attenuation coefficients'!$A$2:$A$37,MATCH($C643,'Mass attenuation coefficients'!$A$2:$A$37,1)))*(INDEX('Mass attenuation coefficients'!$B$2:$B$37,MATCH($C643,'Mass attenuation coefficients'!$A$2:$A$37,1)+1)-INDEX('Mass attenuation coefficients'!$B$2:$B$37,MATCH($C643,'Mass attenuation coefficients'!$A$2:$A$37,1)))/(INDEX('Mass attenuation coefficients'!$A$2:$A$37,MATCH($C643,'Mass attenuation coefficients'!$A$2:$A$37,1)+1)-INDEX('Mass attenuation coefficients'!$A$2:$A$37,MATCH($C643,'Mass attenuation coefficients'!$A$2:$A$37,1)))),0.997*$C643*'Mass attenuation coefficients'!$B$2/'Mass attenuation coefficients'!$A$2)</f>
        <v>8.2308112660000016E-2</v>
      </c>
      <c r="I643" s="83">
        <f>_xlfn.IFNA(INDEX('Shultis Faw'!$C$2:$C$26,MATCH($C643,'Shultis Faw'!$A$2:$A$26,1))+($C643-INDEX('Shultis Faw'!$A$2:$A$26,MATCH($C643,'Shultis Faw'!$A$2:$A$26,1)))*(INDEX('Shultis Faw'!$C$2:$C$26,MATCH($C643,'Shultis Faw'!$A$2:$A$26,1)+1)-INDEX('Shultis Faw'!$C$2:$C$26,MATCH($C643,'Shultis Faw'!$A$2:$A$26,1)))/(INDEX('Shultis Faw'!$A$2:$A$26,MATCH($C643,'Shultis Faw'!$A$2:$A$26,1)+1)-INDEX('Shultis Faw'!$A$2:$A$26,MATCH($C643,'Shultis Faw'!$A$2:$A$26,1))),$C643*'Shultis Faw'!$C$2/'Shultis Faw'!$A$2)</f>
        <v>2.2710699999999999</v>
      </c>
      <c r="J643" s="83">
        <f>_xlfn.IFNA(INDEX('Shultis Faw'!$D$2:$D$26,MATCH($C643,'Shultis Faw'!$A$2:$A$26,1))+($C643-INDEX('Shultis Faw'!$A$2:$A$26,MATCH($C643,'Shultis Faw'!$A$2:$A$26,1)))*(INDEX('Shultis Faw'!$D$2:$D$26,MATCH($C643,'Shultis Faw'!$A$2:$A$26,1)+1)-INDEX('Shultis Faw'!$D$2:$D$26,MATCH($C643,'Shultis Faw'!$A$2:$A$26,1)))/(INDEX('Shultis Faw'!$A$2:$A$26,MATCH($C643,'Shultis Faw'!$A$2:$A$26,1)+1)-INDEX('Shultis Faw'!$A$2:$A$26,MATCH($C643,'Shultis Faw'!$A$2:$A$26,1))),$C643*'Shultis Faw'!$D$2/'Shultis Faw'!$A$2)</f>
        <v>1.59233</v>
      </c>
      <c r="K643" s="83">
        <f>_xlfn.IFNA(INDEX('Shultis Faw'!$B$2:$B$26,MATCH($C643,'Shultis Faw'!$A$2:$A$26,1))+($C643-INDEX('Shultis Faw'!$A$2:$A$26,MATCH($C643,'Shultis Faw'!$A$2:$A$26,1)))*(INDEX('Shultis Faw'!$B$2:$B$26,MATCH($C643,'Shultis Faw'!$A$2:$A$26,1)+1)-INDEX('Shultis Faw'!$B$2:$B$26,MATCH($C643,'Shultis Faw'!$A$2:$A$26,1)))/(INDEX('Shultis Faw'!$A$2:$A$26,MATCH($C643,'Shultis Faw'!$A$2:$A$26,1)+1)-INDEX('Shultis Faw'!$A$2:$A$26,MATCH($C643,'Shultis Faw'!$A$2:$A$26,1))),$C643*'Shultis Faw'!$B$2/'Shultis Faw'!$A$2)</f>
        <v>-0.11180200000000001</v>
      </c>
      <c r="L643" s="83">
        <f>_xlfn.IFNA(INDEX('Shultis Faw'!$E$2:$E$26,MATCH($C643,'Shultis Faw'!$A$2:$A$26,1))+($C643-INDEX('Shultis Faw'!$A$2:$A$26,MATCH($C643,'Shultis Faw'!$A$2:$A$26,1)))*(INDEX('Shultis Faw'!$E$2:$E$26,MATCH($C643,'Shultis Faw'!$A$2:$A$26,1)+1)-INDEX('Shultis Faw'!$E$2:$E$26,MATCH($C643,'Shultis Faw'!$A$2:$A$26,1)))/(INDEX('Shultis Faw'!$A$2:$A$26,MATCH($C643,'Shultis Faw'!$A$2:$A$26,1)+1)-INDEX('Shultis Faw'!$A$2:$A$26,MATCH($C643,'Shultis Faw'!$A$2:$A$26,1))),$C643*'Shultis Faw'!$E$2/'Shultis Faw'!$A$2)</f>
        <v>4.6062800000000001E-2</v>
      </c>
      <c r="M643" s="83">
        <f>_xlfn.IFNA(INDEX('Shultis Faw'!$F$2:$F$26,MATCH($C643,'Shultis Faw'!$A$2:$A$26,1))+($C643-INDEX('Shultis Faw'!$A$2:$A$26,MATCH($C643,'Shultis Faw'!$A$2:$A$26,1)))*(INDEX('Shultis Faw'!$F$2:$F$26,MATCH($C643,'Shultis Faw'!$A$2:$A$26,1)+1)-INDEX('Shultis Faw'!$F$2:$F$26,MATCH($C643,'Shultis Faw'!$A$2:$A$26,1)))/(INDEX('Shultis Faw'!$A$2:$A$26,MATCH($C643,'Shultis Faw'!$A$2:$A$26,1)+1)-INDEX('Shultis Faw'!$A$2:$A$26,MATCH($C643,'Shultis Faw'!$A$2:$A$26,1))),$C643*'Shultis Faw'!$F$2/'Shultis Faw'!$A$2)</f>
        <v>14.313459999999999</v>
      </c>
      <c r="N643" s="83">
        <f>J643*(H643*'Externe blootstelling'!$D$23/2)^K643+L643*(TANH(((H643*'Externe blootstelling'!$D$23)/(2*M643))-2)-TANH(-2))/(1-TANH(-2))</f>
        <v>1.5554025814324752</v>
      </c>
      <c r="O643" s="83">
        <f>IF(N643=1,1+(I643-1)*H643*'Externe blootstelling'!$D$23/2,1+(I643-1)*(N643^(H643*'Externe blootstelling'!$D$23/2)-1)/(N643-1))</f>
        <v>2.65978685569468</v>
      </c>
      <c r="P643" s="67">
        <f>G643*EXP(-H643*'Externe blootstelling'!$D$23/2)*O643</f>
        <v>7.4460208025007847E-6</v>
      </c>
      <c r="Q643" s="68"/>
    </row>
    <row r="644" spans="1:17" x14ac:dyDescent="0.2">
      <c r="A644" s="217"/>
      <c r="B644" s="64" t="s">
        <v>104</v>
      </c>
      <c r="C644" s="66">
        <v>0.73280000000000001</v>
      </c>
      <c r="D644" s="66">
        <f t="shared" si="43"/>
        <v>1.1724799999999999E-13</v>
      </c>
      <c r="E644" s="66">
        <v>5.9999999999999993E-6</v>
      </c>
      <c r="F644" s="66">
        <f>_xlfn.IFNA(INDEX('hp (pSv cm2)'!$B$2:$B$52,MATCH($C644,'hp (pSv cm2)'!$A$2:$A$52,1))+($C644-INDEX('hp (pSv cm2)'!$A$2:$A$52,MATCH($C644,'hp (pSv cm2)'!$A$2:$A$52,1)))*(INDEX('hp (pSv cm2)'!$B$2:$B$52,MATCH($C644,'hp (pSv cm2)'!$A$2:$A$52,1)+1)-INDEX('hp (pSv cm2)'!$B$2:$B$52,MATCH($C644,'hp (pSv cm2)'!$A$2:$A$52,1)))/(INDEX('hp (pSv cm2)'!$A$2:$A$52,MATCH($C644,'hp (pSv cm2)'!$A$2:$A$52,1)+1)-INDEX('hp (pSv cm2)'!$A$2:$A$52,MATCH($C644,'hp (pSv cm2)'!$A$2:$A$52,1))),$C644*'hp (pSv cm2)'!$B$2/'hp (pSv cm2)'!$A$2)</f>
        <v>3.4544800000000002</v>
      </c>
      <c r="G644" s="67">
        <f t="shared" si="44"/>
        <v>2.0726879999999998E-5</v>
      </c>
      <c r="H644" s="83">
        <f>_xlfn.IFNA(0.997*(INDEX('Mass attenuation coefficients'!$B$2:$B$37,MATCH($C644,'Mass attenuation coefficients'!$A$2:$A$37,1))+($C644-INDEX('Mass attenuation coefficients'!$A$2:$A$37,MATCH($C644,'Mass attenuation coefficients'!$A$2:$A$37,1)))*(INDEX('Mass attenuation coefficients'!$B$2:$B$37,MATCH($C644,'Mass attenuation coefficients'!$A$2:$A$37,1)+1)-INDEX('Mass attenuation coefficients'!$B$2:$B$37,MATCH($C644,'Mass attenuation coefficients'!$A$2:$A$37,1)))/(INDEX('Mass attenuation coefficients'!$A$2:$A$37,MATCH($C644,'Mass attenuation coefficients'!$A$2:$A$37,1)+1)-INDEX('Mass attenuation coefficients'!$A$2:$A$37,MATCH($C644,'Mass attenuation coefficients'!$A$2:$A$37,1)))),0.997*$C644*'Mass attenuation coefficients'!$B$2/'Mass attenuation coefficients'!$A$2)</f>
        <v>8.2068812719999995E-2</v>
      </c>
      <c r="I644" s="83">
        <f>_xlfn.IFNA(INDEX('Shultis Faw'!$C$2:$C$26,MATCH($C644,'Shultis Faw'!$A$2:$A$26,1))+($C644-INDEX('Shultis Faw'!$A$2:$A$26,MATCH($C644,'Shultis Faw'!$A$2:$A$26,1)))*(INDEX('Shultis Faw'!$C$2:$C$26,MATCH($C644,'Shultis Faw'!$A$2:$A$26,1)+1)-INDEX('Shultis Faw'!$C$2:$C$26,MATCH($C644,'Shultis Faw'!$A$2:$A$26,1)))/(INDEX('Shultis Faw'!$A$2:$A$26,MATCH($C644,'Shultis Faw'!$A$2:$A$26,1)+1)-INDEX('Shultis Faw'!$A$2:$A$26,MATCH($C644,'Shultis Faw'!$A$2:$A$26,1))),$C644*'Shultis Faw'!$C$2/'Shultis Faw'!$A$2)</f>
        <v>2.2674400000000001</v>
      </c>
      <c r="J644" s="83">
        <f>_xlfn.IFNA(INDEX('Shultis Faw'!$D$2:$D$26,MATCH($C644,'Shultis Faw'!$A$2:$A$26,1))+($C644-INDEX('Shultis Faw'!$A$2:$A$26,MATCH($C644,'Shultis Faw'!$A$2:$A$26,1)))*(INDEX('Shultis Faw'!$D$2:$D$26,MATCH($C644,'Shultis Faw'!$A$2:$A$26,1)+1)-INDEX('Shultis Faw'!$D$2:$D$26,MATCH($C644,'Shultis Faw'!$A$2:$A$26,1)))/(INDEX('Shultis Faw'!$A$2:$A$26,MATCH($C644,'Shultis Faw'!$A$2:$A$26,1)+1)-INDEX('Shultis Faw'!$A$2:$A$26,MATCH($C644,'Shultis Faw'!$A$2:$A$26,1))),$C644*'Shultis Faw'!$D$2/'Shultis Faw'!$A$2)</f>
        <v>1.5893600000000001</v>
      </c>
      <c r="K644" s="83">
        <f>_xlfn.IFNA(INDEX('Shultis Faw'!$B$2:$B$26,MATCH($C644,'Shultis Faw'!$A$2:$A$26,1))+($C644-INDEX('Shultis Faw'!$A$2:$A$26,MATCH($C644,'Shultis Faw'!$A$2:$A$26,1)))*(INDEX('Shultis Faw'!$B$2:$B$26,MATCH($C644,'Shultis Faw'!$A$2:$A$26,1)+1)-INDEX('Shultis Faw'!$B$2:$B$26,MATCH($C644,'Shultis Faw'!$A$2:$A$26,1)))/(INDEX('Shultis Faw'!$A$2:$A$26,MATCH($C644,'Shultis Faw'!$A$2:$A$26,1)+1)-INDEX('Shultis Faw'!$A$2:$A$26,MATCH($C644,'Shultis Faw'!$A$2:$A$26,1))),$C644*'Shultis Faw'!$B$2/'Shultis Faw'!$A$2)</f>
        <v>-0.111384</v>
      </c>
      <c r="L644" s="83">
        <f>_xlfn.IFNA(INDEX('Shultis Faw'!$E$2:$E$26,MATCH($C644,'Shultis Faw'!$A$2:$A$26,1))+($C644-INDEX('Shultis Faw'!$A$2:$A$26,MATCH($C644,'Shultis Faw'!$A$2:$A$26,1)))*(INDEX('Shultis Faw'!$E$2:$E$26,MATCH($C644,'Shultis Faw'!$A$2:$A$26,1)+1)-INDEX('Shultis Faw'!$E$2:$E$26,MATCH($C644,'Shultis Faw'!$A$2:$A$26,1)))/(INDEX('Shultis Faw'!$A$2:$A$26,MATCH($C644,'Shultis Faw'!$A$2:$A$26,1)+1)-INDEX('Shultis Faw'!$A$2:$A$26,MATCH($C644,'Shultis Faw'!$A$2:$A$26,1))),$C644*'Shultis Faw'!$E$2/'Shultis Faw'!$A$2)</f>
        <v>4.5917600000000003E-2</v>
      </c>
      <c r="M644" s="83">
        <f>_xlfn.IFNA(INDEX('Shultis Faw'!$F$2:$F$26,MATCH($C644,'Shultis Faw'!$A$2:$A$26,1))+($C644-INDEX('Shultis Faw'!$A$2:$A$26,MATCH($C644,'Shultis Faw'!$A$2:$A$26,1)))*(INDEX('Shultis Faw'!$F$2:$F$26,MATCH($C644,'Shultis Faw'!$A$2:$A$26,1)+1)-INDEX('Shultis Faw'!$F$2:$F$26,MATCH($C644,'Shultis Faw'!$A$2:$A$26,1)))/(INDEX('Shultis Faw'!$A$2:$A$26,MATCH($C644,'Shultis Faw'!$A$2:$A$26,1)+1)-INDEX('Shultis Faw'!$A$2:$A$26,MATCH($C644,'Shultis Faw'!$A$2:$A$26,1))),$C644*'Shultis Faw'!$F$2/'Shultis Faw'!$A$2)</f>
        <v>14.316319999999999</v>
      </c>
      <c r="N644" s="83">
        <f>J644*(H644*'Externe blootstelling'!$D$23/2)^K644+L644*(TANH(((H644*'Externe blootstelling'!$D$23)/(2*M644))-2)-TANH(-2))/(1-TANH(-2))</f>
        <v>1.5531410639509744</v>
      </c>
      <c r="O644" s="83">
        <f>IF(N644=1,1+(I644-1)*H644*'Externe blootstelling'!$D$23/2,1+(I644-1)*(N644^(H644*'Externe blootstelling'!$D$23/2)-1)/(N644-1))</f>
        <v>2.6484868687156595</v>
      </c>
      <c r="P644" s="67">
        <f>G644*EXP(-H644*'Externe blootstelling'!$D$23/2)*O644</f>
        <v>1.6028809578959294E-5</v>
      </c>
      <c r="Q644" s="68"/>
    </row>
    <row r="645" spans="1:17" x14ac:dyDescent="0.2">
      <c r="A645" s="218"/>
      <c r="B645" s="64" t="s">
        <v>104</v>
      </c>
      <c r="C645" s="66">
        <v>0.73720000000000008</v>
      </c>
      <c r="D645" s="66">
        <f t="shared" si="43"/>
        <v>1.1795200000000001E-13</v>
      </c>
      <c r="E645" s="66">
        <v>2.7999999999999999E-6</v>
      </c>
      <c r="F645" s="66">
        <f>_xlfn.IFNA(INDEX('hp (pSv cm2)'!$B$2:$B$52,MATCH($C645,'hp (pSv cm2)'!$A$2:$A$52,1))+($C645-INDEX('hp (pSv cm2)'!$A$2:$A$52,MATCH($C645,'hp (pSv cm2)'!$A$2:$A$52,1)))*(INDEX('hp (pSv cm2)'!$B$2:$B$52,MATCH($C645,'hp (pSv cm2)'!$A$2:$A$52,1)+1)-INDEX('hp (pSv cm2)'!$B$2:$B$52,MATCH($C645,'hp (pSv cm2)'!$A$2:$A$52,1)))/(INDEX('hp (pSv cm2)'!$A$2:$A$52,MATCH($C645,'hp (pSv cm2)'!$A$2:$A$52,1)+1)-INDEX('hp (pSv cm2)'!$A$2:$A$52,MATCH($C645,'hp (pSv cm2)'!$A$2:$A$52,1))),$C645*'hp (pSv cm2)'!$B$2/'hp (pSv cm2)'!$A$2)</f>
        <v>3.4725200000000003</v>
      </c>
      <c r="G645" s="67">
        <f t="shared" si="44"/>
        <v>9.7230559999999998E-6</v>
      </c>
      <c r="H645" s="83">
        <f>_xlfn.IFNA(0.997*(INDEX('Mass attenuation coefficients'!$B$2:$B$37,MATCH($C645,'Mass attenuation coefficients'!$A$2:$A$37,1))+($C645-INDEX('Mass attenuation coefficients'!$A$2:$A$37,MATCH($C645,'Mass attenuation coefficients'!$A$2:$A$37,1)))*(INDEX('Mass attenuation coefficients'!$B$2:$B$37,MATCH($C645,'Mass attenuation coefficients'!$A$2:$A$37,1)+1)-INDEX('Mass attenuation coefficients'!$B$2:$B$37,MATCH($C645,'Mass attenuation coefficients'!$A$2:$A$37,1)))/(INDEX('Mass attenuation coefficients'!$A$2:$A$37,MATCH($C645,'Mass attenuation coefficients'!$A$2:$A$37,1)+1)-INDEX('Mass attenuation coefficients'!$A$2:$A$37,MATCH($C645,'Mass attenuation coefficients'!$A$2:$A$37,1)))),0.997*$C645*'Mass attenuation coefficients'!$B$2/'Mass attenuation coefficients'!$A$2)</f>
        <v>8.1829512779999988E-2</v>
      </c>
      <c r="I645" s="83">
        <f>_xlfn.IFNA(INDEX('Shultis Faw'!$C$2:$C$26,MATCH($C645,'Shultis Faw'!$A$2:$A$26,1))+($C645-INDEX('Shultis Faw'!$A$2:$A$26,MATCH($C645,'Shultis Faw'!$A$2:$A$26,1)))*(INDEX('Shultis Faw'!$C$2:$C$26,MATCH($C645,'Shultis Faw'!$A$2:$A$26,1)+1)-INDEX('Shultis Faw'!$C$2:$C$26,MATCH($C645,'Shultis Faw'!$A$2:$A$26,1)))/(INDEX('Shultis Faw'!$A$2:$A$26,MATCH($C645,'Shultis Faw'!$A$2:$A$26,1)+1)-INDEX('Shultis Faw'!$A$2:$A$26,MATCH($C645,'Shultis Faw'!$A$2:$A$26,1))),$C645*'Shultis Faw'!$C$2/'Shultis Faw'!$A$2)</f>
        <v>2.2638099999999999</v>
      </c>
      <c r="J645" s="83">
        <f>_xlfn.IFNA(INDEX('Shultis Faw'!$D$2:$D$26,MATCH($C645,'Shultis Faw'!$A$2:$A$26,1))+($C645-INDEX('Shultis Faw'!$A$2:$A$26,MATCH($C645,'Shultis Faw'!$A$2:$A$26,1)))*(INDEX('Shultis Faw'!$D$2:$D$26,MATCH($C645,'Shultis Faw'!$A$2:$A$26,1)+1)-INDEX('Shultis Faw'!$D$2:$D$26,MATCH($C645,'Shultis Faw'!$A$2:$A$26,1)))/(INDEX('Shultis Faw'!$A$2:$A$26,MATCH($C645,'Shultis Faw'!$A$2:$A$26,1)+1)-INDEX('Shultis Faw'!$A$2:$A$26,MATCH($C645,'Shultis Faw'!$A$2:$A$26,1))),$C645*'Shultis Faw'!$D$2/'Shultis Faw'!$A$2)</f>
        <v>1.58639</v>
      </c>
      <c r="K645" s="83">
        <f>_xlfn.IFNA(INDEX('Shultis Faw'!$B$2:$B$26,MATCH($C645,'Shultis Faw'!$A$2:$A$26,1))+($C645-INDEX('Shultis Faw'!$A$2:$A$26,MATCH($C645,'Shultis Faw'!$A$2:$A$26,1)))*(INDEX('Shultis Faw'!$B$2:$B$26,MATCH($C645,'Shultis Faw'!$A$2:$A$26,1)+1)-INDEX('Shultis Faw'!$B$2:$B$26,MATCH($C645,'Shultis Faw'!$A$2:$A$26,1)))/(INDEX('Shultis Faw'!$A$2:$A$26,MATCH($C645,'Shultis Faw'!$A$2:$A$26,1)+1)-INDEX('Shultis Faw'!$A$2:$A$26,MATCH($C645,'Shultis Faw'!$A$2:$A$26,1))),$C645*'Shultis Faw'!$B$2/'Shultis Faw'!$A$2)</f>
        <v>-0.110966</v>
      </c>
      <c r="L645" s="83">
        <f>_xlfn.IFNA(INDEX('Shultis Faw'!$E$2:$E$26,MATCH($C645,'Shultis Faw'!$A$2:$A$26,1))+($C645-INDEX('Shultis Faw'!$A$2:$A$26,MATCH($C645,'Shultis Faw'!$A$2:$A$26,1)))*(INDEX('Shultis Faw'!$E$2:$E$26,MATCH($C645,'Shultis Faw'!$A$2:$A$26,1)+1)-INDEX('Shultis Faw'!$E$2:$E$26,MATCH($C645,'Shultis Faw'!$A$2:$A$26,1)))/(INDEX('Shultis Faw'!$A$2:$A$26,MATCH($C645,'Shultis Faw'!$A$2:$A$26,1)+1)-INDEX('Shultis Faw'!$A$2:$A$26,MATCH($C645,'Shultis Faw'!$A$2:$A$26,1))),$C645*'Shultis Faw'!$E$2/'Shultis Faw'!$A$2)</f>
        <v>4.5772399999999998E-2</v>
      </c>
      <c r="M645" s="83">
        <f>_xlfn.IFNA(INDEX('Shultis Faw'!$F$2:$F$26,MATCH($C645,'Shultis Faw'!$A$2:$A$26,1))+($C645-INDEX('Shultis Faw'!$A$2:$A$26,MATCH($C645,'Shultis Faw'!$A$2:$A$26,1)))*(INDEX('Shultis Faw'!$F$2:$F$26,MATCH($C645,'Shultis Faw'!$A$2:$A$26,1)+1)-INDEX('Shultis Faw'!$F$2:$F$26,MATCH($C645,'Shultis Faw'!$A$2:$A$26,1)))/(INDEX('Shultis Faw'!$A$2:$A$26,MATCH($C645,'Shultis Faw'!$A$2:$A$26,1)+1)-INDEX('Shultis Faw'!$A$2:$A$26,MATCH($C645,'Shultis Faw'!$A$2:$A$26,1))),$C645*'Shultis Faw'!$F$2/'Shultis Faw'!$A$2)</f>
        <v>14.319179999999999</v>
      </c>
      <c r="N645" s="83">
        <f>J645*(H645*'Externe blootstelling'!$D$23/2)^K645+L645*(TANH(((H645*'Externe blootstelling'!$D$23)/(2*M645))-2)-TANH(-2))/(1-TANH(-2))</f>
        <v>1.5508751091722488</v>
      </c>
      <c r="O645" s="83">
        <f>IF(N645=1,1+(I645-1)*H645*'Externe blootstelling'!$D$23/2,1+(I645-1)*(N645^(H645*'Externe blootstelling'!$D$23/2)-1)/(N645-1))</f>
        <v>2.6372459476713512</v>
      </c>
      <c r="P645" s="67">
        <f>G645*EXP(-H645*'Externe blootstelling'!$D$23/2)*O645</f>
        <v>7.514184129094713E-6</v>
      </c>
      <c r="Q645" s="68"/>
    </row>
    <row r="646" spans="1:17" x14ac:dyDescent="0.2">
      <c r="A646" s="216" t="s">
        <v>152</v>
      </c>
      <c r="B646" s="64" t="s">
        <v>102</v>
      </c>
      <c r="C646" s="66">
        <v>1.2935499999999999E-2</v>
      </c>
      <c r="D646" s="66">
        <f t="shared" si="43"/>
        <v>2.0696799999999997E-15</v>
      </c>
      <c r="E646" s="66">
        <v>1.01E-2</v>
      </c>
      <c r="F646" s="66">
        <f>_xlfn.IFNA(INDEX('hp (pSv cm2)'!$B$2:$B$52,MATCH($C646,'hp (pSv cm2)'!$A$2:$A$52,1))+($C646-INDEX('hp (pSv cm2)'!$A$2:$A$52,MATCH($C646,'hp (pSv cm2)'!$A$2:$A$52,1)))*(INDEX('hp (pSv cm2)'!$B$2:$B$52,MATCH($C646,'hp (pSv cm2)'!$A$2:$A$52,1)+1)-INDEX('hp (pSv cm2)'!$B$2:$B$52,MATCH($C646,'hp (pSv cm2)'!$A$2:$A$52,1)))/(INDEX('hp (pSv cm2)'!$A$2:$A$52,MATCH($C646,'hp (pSv cm2)'!$A$2:$A$52,1)+1)-INDEX('hp (pSv cm2)'!$A$2:$A$52,MATCH($C646,'hp (pSv cm2)'!$A$2:$A$52,1))),$C646*'hp (pSv cm2)'!$B$2/'hp (pSv cm2)'!$A$2)</f>
        <v>0.1209035</v>
      </c>
      <c r="G646" s="67">
        <f t="shared" si="44"/>
        <v>1.2211253499999999E-3</v>
      </c>
      <c r="H646" s="83">
        <f>_xlfn.IFNA(0.997*(INDEX('Mass attenuation coefficients'!$B$2:$B$37,MATCH($C646,'Mass attenuation coefficients'!$A$2:$A$37,1))+($C646-INDEX('Mass attenuation coefficients'!$A$2:$A$37,MATCH($C646,'Mass attenuation coefficients'!$A$2:$A$37,1)))*(INDEX('Mass attenuation coefficients'!$B$2:$B$37,MATCH($C646,'Mass attenuation coefficients'!$A$2:$A$37,1)+1)-INDEX('Mass attenuation coefficients'!$B$2:$B$37,MATCH($C646,'Mass attenuation coefficients'!$A$2:$A$37,1)))/(INDEX('Mass attenuation coefficients'!$A$2:$A$37,MATCH($C646,'Mass attenuation coefficients'!$A$2:$A$37,1)+1)-INDEX('Mass attenuation coefficients'!$A$2:$A$37,MATCH($C646,'Mass attenuation coefficients'!$A$2:$A$37,1)))),0.997*$C646*'Mass attenuation coefficients'!$B$2/'Mass attenuation coefficients'!$A$2)</f>
        <v>3.1730147128000006</v>
      </c>
      <c r="I646" s="83">
        <f>_xlfn.IFNA(INDEX('Shultis Faw'!$C$2:$C$26,MATCH($C646,'Shultis Faw'!$A$2:$A$26,1))+($C646-INDEX('Shultis Faw'!$A$2:$A$26,MATCH($C646,'Shultis Faw'!$A$2:$A$26,1)))*(INDEX('Shultis Faw'!$C$2:$C$26,MATCH($C646,'Shultis Faw'!$A$2:$A$26,1)+1)-INDEX('Shultis Faw'!$C$2:$C$26,MATCH($C646,'Shultis Faw'!$A$2:$A$26,1)))/(INDEX('Shultis Faw'!$A$2:$A$26,MATCH($C646,'Shultis Faw'!$A$2:$A$26,1)+1)-INDEX('Shultis Faw'!$A$2:$A$26,MATCH($C646,'Shultis Faw'!$A$2:$A$26,1))),$C646*'Shultis Faw'!$C$2/'Shultis Faw'!$A$2)</f>
        <v>1.0193174</v>
      </c>
      <c r="J646" s="83">
        <f>_xlfn.IFNA(INDEX('Shultis Faw'!$D$2:$D$26,MATCH($C646,'Shultis Faw'!$A$2:$A$26,1))+($C646-INDEX('Shultis Faw'!$A$2:$A$26,MATCH($C646,'Shultis Faw'!$A$2:$A$26,1)))*(INDEX('Shultis Faw'!$D$2:$D$26,MATCH($C646,'Shultis Faw'!$A$2:$A$26,1)+1)-INDEX('Shultis Faw'!$D$2:$D$26,MATCH($C646,'Shultis Faw'!$A$2:$A$26,1)))/(INDEX('Shultis Faw'!$A$2:$A$26,MATCH($C646,'Shultis Faw'!$A$2:$A$26,1)+1)-INDEX('Shultis Faw'!$A$2:$A$26,MATCH($C646,'Shultis Faw'!$A$2:$A$26,1))),$C646*'Shultis Faw'!$D$2/'Shultis Faw'!$A$2)</f>
        <v>0.39927576666666664</v>
      </c>
      <c r="K646" s="83">
        <f>_xlfn.IFNA(INDEX('Shultis Faw'!$B$2:$B$26,MATCH($C646,'Shultis Faw'!$A$2:$A$26,1))+($C646-INDEX('Shultis Faw'!$A$2:$A$26,MATCH($C646,'Shultis Faw'!$A$2:$A$26,1)))*(INDEX('Shultis Faw'!$B$2:$B$26,MATCH($C646,'Shultis Faw'!$A$2:$A$26,1)+1)-INDEX('Shultis Faw'!$B$2:$B$26,MATCH($C646,'Shultis Faw'!$A$2:$A$26,1)))/(INDEX('Shultis Faw'!$A$2:$A$26,MATCH($C646,'Shultis Faw'!$A$2:$A$26,1)+1)-INDEX('Shultis Faw'!$A$2:$A$26,MATCH($C646,'Shultis Faw'!$A$2:$A$26,1))),$C646*'Shultis Faw'!$B$2/'Shultis Faw'!$A$2)</f>
        <v>0.14832706666666665</v>
      </c>
      <c r="L646" s="83">
        <f>_xlfn.IFNA(INDEX('Shultis Faw'!$E$2:$E$26,MATCH($C646,'Shultis Faw'!$A$2:$A$26,1))+($C646-INDEX('Shultis Faw'!$A$2:$A$26,MATCH($C646,'Shultis Faw'!$A$2:$A$26,1)))*(INDEX('Shultis Faw'!$E$2:$E$26,MATCH($C646,'Shultis Faw'!$A$2:$A$26,1)+1)-INDEX('Shultis Faw'!$E$2:$E$26,MATCH($C646,'Shultis Faw'!$A$2:$A$26,1)))/(INDEX('Shultis Faw'!$A$2:$A$26,MATCH($C646,'Shultis Faw'!$A$2:$A$26,1)+1)-INDEX('Shultis Faw'!$A$2:$A$26,MATCH($C646,'Shultis Faw'!$A$2:$A$26,1))),$C646*'Shultis Faw'!$E$2/'Shultis Faw'!$A$2)</f>
        <v>-7.8302893333333345E-2</v>
      </c>
      <c r="M646" s="83">
        <f>_xlfn.IFNA(INDEX('Shultis Faw'!$F$2:$F$26,MATCH($C646,'Shultis Faw'!$A$2:$A$26,1))+($C646-INDEX('Shultis Faw'!$A$2:$A$26,MATCH($C646,'Shultis Faw'!$A$2:$A$26,1)))*(INDEX('Shultis Faw'!$F$2:$F$26,MATCH($C646,'Shultis Faw'!$A$2:$A$26,1)+1)-INDEX('Shultis Faw'!$F$2:$F$26,MATCH($C646,'Shultis Faw'!$A$2:$A$26,1)))/(INDEX('Shultis Faw'!$A$2:$A$26,MATCH($C646,'Shultis Faw'!$A$2:$A$26,1)+1)-INDEX('Shultis Faw'!$A$2:$A$26,MATCH($C646,'Shultis Faw'!$A$2:$A$26,1))),$C646*'Shultis Faw'!$F$2/'Shultis Faw'!$A$2)</f>
        <v>12.271477666666666</v>
      </c>
      <c r="N646" s="83">
        <f>J646*(H646*'Externe blootstelling'!$D$23/2)^K646+L646*(TANH(((H646*'Externe blootstelling'!$D$23)/(2*M646))-2)-TANH(-2))/(1-TANH(-2))</f>
        <v>0.63162712867708204</v>
      </c>
      <c r="O646" s="83">
        <f>IF(N646=1,1+(I646-1)*H646*'Externe blootstelling'!$D$23/2,1+(I646-1)*(N646^(H646*'Externe blootstelling'!$D$23/2)-1)/(N646-1))</f>
        <v>1.0524398008042151</v>
      </c>
      <c r="P646" s="67">
        <f>G646*EXP(-H646*'Externe blootstelling'!$D$23/2)*O646</f>
        <v>2.7454642903459188E-24</v>
      </c>
      <c r="Q646" s="68"/>
    </row>
    <row r="647" spans="1:17" x14ac:dyDescent="0.2">
      <c r="A647" s="217"/>
      <c r="B647" s="64" t="s">
        <v>102</v>
      </c>
      <c r="C647" s="66">
        <v>7.6864000000000002E-2</v>
      </c>
      <c r="D647" s="66">
        <f t="shared" si="43"/>
        <v>1.229824E-14</v>
      </c>
      <c r="E647" s="66">
        <v>5.4000000000000003E-3</v>
      </c>
      <c r="F647" s="66">
        <f>_xlfn.IFNA(INDEX('hp (pSv cm2)'!$B$2:$B$52,MATCH($C647,'hp (pSv cm2)'!$A$2:$A$52,1))+($C647-INDEX('hp (pSv cm2)'!$A$2:$A$52,MATCH($C647,'hp (pSv cm2)'!$A$2:$A$52,1)))*(INDEX('hp (pSv cm2)'!$B$2:$B$52,MATCH($C647,'hp (pSv cm2)'!$A$2:$A$52,1)+1)-INDEX('hp (pSv cm2)'!$B$2:$B$52,MATCH($C647,'hp (pSv cm2)'!$A$2:$A$52,1)))/(INDEX('hp (pSv cm2)'!$A$2:$A$52,MATCH($C647,'hp (pSv cm2)'!$A$2:$A$52,1)+1)-INDEX('hp (pSv cm2)'!$A$2:$A$52,MATCH($C647,'hp (pSv cm2)'!$A$2:$A$52,1))),$C647*'hp (pSv cm2)'!$B$2/'hp (pSv cm2)'!$A$2)</f>
        <v>0.43296479999999998</v>
      </c>
      <c r="G647" s="67">
        <f t="shared" si="44"/>
        <v>2.3380099200000001E-3</v>
      </c>
      <c r="H647" s="83">
        <f>_xlfn.IFNA(0.997*(INDEX('Mass attenuation coefficients'!$B$2:$B$37,MATCH($C647,'Mass attenuation coefficients'!$A$2:$A$37,1))+($C647-INDEX('Mass attenuation coefficients'!$A$2:$A$37,MATCH($C647,'Mass attenuation coefficients'!$A$2:$A$37,1)))*(INDEX('Mass attenuation coefficients'!$B$2:$B$37,MATCH($C647,'Mass attenuation coefficients'!$A$2:$A$37,1)+1)-INDEX('Mass attenuation coefficients'!$B$2:$B$37,MATCH($C647,'Mass attenuation coefficients'!$A$2:$A$37,1)))/(INDEX('Mass attenuation coefficients'!$A$2:$A$37,MATCH($C647,'Mass attenuation coefficients'!$A$2:$A$37,1)+1)-INDEX('Mass attenuation coefficients'!$A$2:$A$37,MATCH($C647,'Mass attenuation coefficients'!$A$2:$A$37,1)))),0.997*$C647*'Mass attenuation coefficients'!$B$2/'Mass attenuation coefficients'!$A$2)</f>
        <v>0.18661941712000002</v>
      </c>
      <c r="I647" s="83">
        <f>_xlfn.IFNA(INDEX('Shultis Faw'!$C$2:$C$26,MATCH($C647,'Shultis Faw'!$A$2:$A$26,1))+($C647-INDEX('Shultis Faw'!$A$2:$A$26,MATCH($C647,'Shultis Faw'!$A$2:$A$26,1)))*(INDEX('Shultis Faw'!$C$2:$C$26,MATCH($C647,'Shultis Faw'!$A$2:$A$26,1)+1)-INDEX('Shultis Faw'!$C$2:$C$26,MATCH($C647,'Shultis Faw'!$A$2:$A$26,1)))/(INDEX('Shultis Faw'!$A$2:$A$26,MATCH($C647,'Shultis Faw'!$A$2:$A$26,1)+1)-INDEX('Shultis Faw'!$A$2:$A$26,MATCH($C647,'Shultis Faw'!$A$2:$A$26,1))),$C647*'Shultis Faw'!$C$2/'Shultis Faw'!$A$2)</f>
        <v>5.0470832000000003</v>
      </c>
      <c r="J647" s="83">
        <f>_xlfn.IFNA(INDEX('Shultis Faw'!$D$2:$D$26,MATCH($C647,'Shultis Faw'!$A$2:$A$26,1))+($C647-INDEX('Shultis Faw'!$A$2:$A$26,MATCH($C647,'Shultis Faw'!$A$2:$A$26,1)))*(INDEX('Shultis Faw'!$D$2:$D$26,MATCH($C647,'Shultis Faw'!$A$2:$A$26,1)+1)-INDEX('Shultis Faw'!$D$2:$D$26,MATCH($C647,'Shultis Faw'!$A$2:$A$26,1)))/(INDEX('Shultis Faw'!$A$2:$A$26,MATCH($C647,'Shultis Faw'!$A$2:$A$26,1)+1)-INDEX('Shultis Faw'!$A$2:$A$26,MATCH($C647,'Shultis Faw'!$A$2:$A$26,1))),$C647*'Shultis Faw'!$D$2/'Shultis Faw'!$A$2)</f>
        <v>2.0074128</v>
      </c>
      <c r="K647" s="83">
        <f>_xlfn.IFNA(INDEX('Shultis Faw'!$B$2:$B$26,MATCH($C647,'Shultis Faw'!$A$2:$A$26,1))+($C647-INDEX('Shultis Faw'!$A$2:$A$26,MATCH($C647,'Shultis Faw'!$A$2:$A$26,1)))*(INDEX('Shultis Faw'!$B$2:$B$26,MATCH($C647,'Shultis Faw'!$A$2:$A$26,1)+1)-INDEX('Shultis Faw'!$B$2:$B$26,MATCH($C647,'Shultis Faw'!$A$2:$A$26,1)))/(INDEX('Shultis Faw'!$A$2:$A$26,MATCH($C647,'Shultis Faw'!$A$2:$A$26,1)+1)-INDEX('Shultis Faw'!$A$2:$A$26,MATCH($C647,'Shultis Faw'!$A$2:$A$26,1))),$C647*'Shultis Faw'!$B$2/'Shultis Faw'!$A$2)</f>
        <v>-0.16141440000000001</v>
      </c>
      <c r="L647" s="83">
        <f>_xlfn.IFNA(INDEX('Shultis Faw'!$E$2:$E$26,MATCH($C647,'Shultis Faw'!$A$2:$A$26,1))+($C647-INDEX('Shultis Faw'!$A$2:$A$26,MATCH($C647,'Shultis Faw'!$A$2:$A$26,1)))*(INDEX('Shultis Faw'!$E$2:$E$26,MATCH($C647,'Shultis Faw'!$A$2:$A$26,1)+1)-INDEX('Shultis Faw'!$E$2:$E$26,MATCH($C647,'Shultis Faw'!$A$2:$A$26,1)))/(INDEX('Shultis Faw'!$A$2:$A$26,MATCH($C647,'Shultis Faw'!$A$2:$A$26,1)+1)-INDEX('Shultis Faw'!$A$2:$A$26,MATCH($C647,'Shultis Faw'!$A$2:$A$26,1))),$C647*'Shultis Faw'!$E$2/'Shultis Faw'!$A$2)</f>
        <v>7.3722880000000005E-2</v>
      </c>
      <c r="M647" s="83">
        <f>_xlfn.IFNA(INDEX('Shultis Faw'!$F$2:$F$26,MATCH($C647,'Shultis Faw'!$A$2:$A$26,1))+($C647-INDEX('Shultis Faw'!$A$2:$A$26,MATCH($C647,'Shultis Faw'!$A$2:$A$26,1)))*(INDEX('Shultis Faw'!$F$2:$F$26,MATCH($C647,'Shultis Faw'!$A$2:$A$26,1)+1)-INDEX('Shultis Faw'!$F$2:$F$26,MATCH($C647,'Shultis Faw'!$A$2:$A$26,1)))/(INDEX('Shultis Faw'!$A$2:$A$26,MATCH($C647,'Shultis Faw'!$A$2:$A$26,1)+1)-INDEX('Shultis Faw'!$A$2:$A$26,MATCH($C647,'Shultis Faw'!$A$2:$A$26,1))),$C647*'Shultis Faw'!$F$2/'Shultis Faw'!$A$2)</f>
        <v>13.665296</v>
      </c>
      <c r="N647" s="83">
        <f>J647*(H647*'Externe blootstelling'!$D$23/2)^K647+L647*(TANH(((H647*'Externe blootstelling'!$D$23)/(2*M647))-2)-TANH(-2))/(1-TANH(-2))</f>
        <v>1.700774067407369</v>
      </c>
      <c r="O647" s="83">
        <f>IF(N647=1,1+(I647-1)*H647*'Externe blootstelling'!$D$23/2,1+(I647-1)*(N647^(H647*'Externe blootstelling'!$D$23/2)-1)/(N647-1))</f>
        <v>20.764268334897839</v>
      </c>
      <c r="P647" s="67">
        <f>G647*EXP(-H647*'Externe blootstelling'!$D$23/2)*O647</f>
        <v>2.9542431420450108E-3</v>
      </c>
      <c r="Q647" s="68"/>
    </row>
    <row r="648" spans="1:17" x14ac:dyDescent="0.2">
      <c r="A648" s="217"/>
      <c r="B648" s="64" t="s">
        <v>102</v>
      </c>
      <c r="C648" s="66">
        <v>7.9293000000000002E-2</v>
      </c>
      <c r="D648" s="66">
        <f t="shared" si="43"/>
        <v>1.2686879999999999E-14</v>
      </c>
      <c r="E648" s="66">
        <v>9.0000000000000011E-3</v>
      </c>
      <c r="F648" s="66">
        <f>_xlfn.IFNA(INDEX('hp (pSv cm2)'!$B$2:$B$52,MATCH($C648,'hp (pSv cm2)'!$A$2:$A$52,1))+($C648-INDEX('hp (pSv cm2)'!$A$2:$A$52,MATCH($C648,'hp (pSv cm2)'!$A$2:$A$52,1)))*(INDEX('hp (pSv cm2)'!$B$2:$B$52,MATCH($C648,'hp (pSv cm2)'!$A$2:$A$52,1)+1)-INDEX('hp (pSv cm2)'!$B$2:$B$52,MATCH($C648,'hp (pSv cm2)'!$A$2:$A$52,1)))/(INDEX('hp (pSv cm2)'!$A$2:$A$52,MATCH($C648,'hp (pSv cm2)'!$A$2:$A$52,1)+1)-INDEX('hp (pSv cm2)'!$A$2:$A$52,MATCH($C648,'hp (pSv cm2)'!$A$2:$A$52,1))),$C648*'hp (pSv cm2)'!$B$2/'hp (pSv cm2)'!$A$2)</f>
        <v>0.44073760000000001</v>
      </c>
      <c r="G648" s="67">
        <f t="shared" si="44"/>
        <v>3.9666384000000008E-3</v>
      </c>
      <c r="H648" s="83">
        <f>_xlfn.IFNA(0.997*(INDEX('Mass attenuation coefficients'!$B$2:$B$37,MATCH($C648,'Mass attenuation coefficients'!$A$2:$A$37,1))+($C648-INDEX('Mass attenuation coefficients'!$A$2:$A$37,MATCH($C648,'Mass attenuation coefficients'!$A$2:$A$37,1)))*(INDEX('Mass attenuation coefficients'!$B$2:$B$37,MATCH($C648,'Mass attenuation coefficients'!$A$2:$A$37,1)+1)-INDEX('Mass attenuation coefficients'!$B$2:$B$37,MATCH($C648,'Mass attenuation coefficients'!$A$2:$A$37,1)))/(INDEX('Mass attenuation coefficients'!$A$2:$A$37,MATCH($C648,'Mass attenuation coefficients'!$A$2:$A$37,1)+1)-INDEX('Mass attenuation coefficients'!$A$2:$A$37,MATCH($C648,'Mass attenuation coefficients'!$A$2:$A$37,1)))),0.997*$C648*'Mass attenuation coefficients'!$B$2/'Mass attenuation coefficients'!$A$2)</f>
        <v>0.18393131568999999</v>
      </c>
      <c r="I648" s="83">
        <f>_xlfn.IFNA(INDEX('Shultis Faw'!$C$2:$C$26,MATCH($C648,'Shultis Faw'!$A$2:$A$26,1))+($C648-INDEX('Shultis Faw'!$A$2:$A$26,MATCH($C648,'Shultis Faw'!$A$2:$A$26,1)))*(INDEX('Shultis Faw'!$C$2:$C$26,MATCH($C648,'Shultis Faw'!$A$2:$A$26,1)+1)-INDEX('Shultis Faw'!$C$2:$C$26,MATCH($C648,'Shultis Faw'!$A$2:$A$26,1)))/(INDEX('Shultis Faw'!$A$2:$A$26,MATCH($C648,'Shultis Faw'!$A$2:$A$26,1)+1)-INDEX('Shultis Faw'!$A$2:$A$26,MATCH($C648,'Shultis Faw'!$A$2:$A$26,1))),$C648*'Shultis Faw'!$C$2/'Shultis Faw'!$A$2)</f>
        <v>5.0563134000000005</v>
      </c>
      <c r="J648" s="83">
        <f>_xlfn.IFNA(INDEX('Shultis Faw'!$D$2:$D$26,MATCH($C648,'Shultis Faw'!$A$2:$A$26,1))+($C648-INDEX('Shultis Faw'!$A$2:$A$26,MATCH($C648,'Shultis Faw'!$A$2:$A$26,1)))*(INDEX('Shultis Faw'!$D$2:$D$26,MATCH($C648,'Shultis Faw'!$A$2:$A$26,1)+1)-INDEX('Shultis Faw'!$D$2:$D$26,MATCH($C648,'Shultis Faw'!$A$2:$A$26,1)))/(INDEX('Shultis Faw'!$A$2:$A$26,MATCH($C648,'Shultis Faw'!$A$2:$A$26,1)+1)-INDEX('Shultis Faw'!$A$2:$A$26,MATCH($C648,'Shultis Faw'!$A$2:$A$26,1))),$C648*'Shultis Faw'!$D$2/'Shultis Faw'!$A$2)</f>
        <v>2.0473698499999999</v>
      </c>
      <c r="K648" s="83">
        <f>_xlfn.IFNA(INDEX('Shultis Faw'!$B$2:$B$26,MATCH($C648,'Shultis Faw'!$A$2:$A$26,1))+($C648-INDEX('Shultis Faw'!$A$2:$A$26,MATCH($C648,'Shultis Faw'!$A$2:$A$26,1)))*(INDEX('Shultis Faw'!$B$2:$B$26,MATCH($C648,'Shultis Faw'!$A$2:$A$26,1)+1)-INDEX('Shultis Faw'!$B$2:$B$26,MATCH($C648,'Shultis Faw'!$A$2:$A$26,1)))/(INDEX('Shultis Faw'!$A$2:$A$26,MATCH($C648,'Shultis Faw'!$A$2:$A$26,1)+1)-INDEX('Shultis Faw'!$A$2:$A$26,MATCH($C648,'Shultis Faw'!$A$2:$A$26,1))),$C648*'Shultis Faw'!$B$2/'Shultis Faw'!$A$2)</f>
        <v>-0.1665153</v>
      </c>
      <c r="L648" s="83">
        <f>_xlfn.IFNA(INDEX('Shultis Faw'!$E$2:$E$26,MATCH($C648,'Shultis Faw'!$A$2:$A$26,1))+($C648-INDEX('Shultis Faw'!$A$2:$A$26,MATCH($C648,'Shultis Faw'!$A$2:$A$26,1)))*(INDEX('Shultis Faw'!$E$2:$E$26,MATCH($C648,'Shultis Faw'!$A$2:$A$26,1)+1)-INDEX('Shultis Faw'!$E$2:$E$26,MATCH($C648,'Shultis Faw'!$A$2:$A$26,1)))/(INDEX('Shultis Faw'!$A$2:$A$26,MATCH($C648,'Shultis Faw'!$A$2:$A$26,1)+1)-INDEX('Shultis Faw'!$A$2:$A$26,MATCH($C648,'Shultis Faw'!$A$2:$A$26,1))),$C648*'Shultis Faw'!$E$2/'Shultis Faw'!$A$2)</f>
        <v>7.6261185000000009E-2</v>
      </c>
      <c r="M648" s="83">
        <f>_xlfn.IFNA(INDEX('Shultis Faw'!$F$2:$F$26,MATCH($C648,'Shultis Faw'!$A$2:$A$26,1))+($C648-INDEX('Shultis Faw'!$A$2:$A$26,MATCH($C648,'Shultis Faw'!$A$2:$A$26,1)))*(INDEX('Shultis Faw'!$F$2:$F$26,MATCH($C648,'Shultis Faw'!$A$2:$A$26,1)+1)-INDEX('Shultis Faw'!$F$2:$F$26,MATCH($C648,'Shultis Faw'!$A$2:$A$26,1)))/(INDEX('Shultis Faw'!$A$2:$A$26,MATCH($C648,'Shultis Faw'!$A$2:$A$26,1)+1)-INDEX('Shultis Faw'!$A$2:$A$26,MATCH($C648,'Shultis Faw'!$A$2:$A$26,1))),$C648*'Shultis Faw'!$F$2/'Shultis Faw'!$A$2)</f>
        <v>13.6689395</v>
      </c>
      <c r="N648" s="83">
        <f>J648*(H648*'Externe blootstelling'!$D$23/2)^K648+L648*(TANH(((H648*'Externe blootstelling'!$D$23)/(2*M648))-2)-TANH(-2))/(1-TANH(-2))</f>
        <v>1.7297167324826352</v>
      </c>
      <c r="O648" s="83">
        <f>IF(N648=1,1+(I648-1)*H648*'Externe blootstelling'!$D$23/2,1+(I648-1)*(N648^(H648*'Externe blootstelling'!$D$23/2)-1)/(N648-1))</f>
        <v>20.649515895136986</v>
      </c>
      <c r="P648" s="67">
        <f>G648*EXP(-H648*'Externe blootstelling'!$D$23/2)*O648</f>
        <v>5.1895195768954586E-3</v>
      </c>
      <c r="Q648" s="68"/>
    </row>
    <row r="649" spans="1:17" x14ac:dyDescent="0.2">
      <c r="A649" s="217"/>
      <c r="B649" s="64" t="s">
        <v>102</v>
      </c>
      <c r="C649" s="66">
        <v>8.9808700000000005E-2</v>
      </c>
      <c r="D649" s="66">
        <f t="shared" si="43"/>
        <v>1.4369392000000002E-14</v>
      </c>
      <c r="E649" s="66">
        <v>3.0899999999999999E-3</v>
      </c>
      <c r="F649" s="66">
        <f>_xlfn.IFNA(INDEX('hp (pSv cm2)'!$B$2:$B$52,MATCH($C649,'hp (pSv cm2)'!$A$2:$A$52,1))+($C649-INDEX('hp (pSv cm2)'!$A$2:$A$52,MATCH($C649,'hp (pSv cm2)'!$A$2:$A$52,1)))*(INDEX('hp (pSv cm2)'!$B$2:$B$52,MATCH($C649,'hp (pSv cm2)'!$A$2:$A$52,1)+1)-INDEX('hp (pSv cm2)'!$B$2:$B$52,MATCH($C649,'hp (pSv cm2)'!$A$2:$A$52,1)))/(INDEX('hp (pSv cm2)'!$A$2:$A$52,MATCH($C649,'hp (pSv cm2)'!$A$2:$A$52,1)+1)-INDEX('hp (pSv cm2)'!$A$2:$A$52,MATCH($C649,'hp (pSv cm2)'!$A$2:$A$52,1))),$C649*'hp (pSv cm2)'!$B$2/'hp (pSv cm2)'!$A$2)</f>
        <v>0.47978262500000002</v>
      </c>
      <c r="G649" s="67">
        <f t="shared" si="44"/>
        <v>1.48252831125E-3</v>
      </c>
      <c r="H649" s="83">
        <f>_xlfn.IFNA(0.997*(INDEX('Mass attenuation coefficients'!$B$2:$B$37,MATCH($C649,'Mass attenuation coefficients'!$A$2:$A$37,1))+($C649-INDEX('Mass attenuation coefficients'!$A$2:$A$37,MATCH($C649,'Mass attenuation coefficients'!$A$2:$A$37,1)))*(INDEX('Mass attenuation coefficients'!$B$2:$B$37,MATCH($C649,'Mass attenuation coefficients'!$A$2:$A$37,1)+1)-INDEX('Mass attenuation coefficients'!$B$2:$B$37,MATCH($C649,'Mass attenuation coefficients'!$A$2:$A$37,1)))/(INDEX('Mass attenuation coefficients'!$A$2:$A$37,MATCH($C649,'Mass attenuation coefficients'!$A$2:$A$37,1)+1)-INDEX('Mass attenuation coefficients'!$A$2:$A$37,MATCH($C649,'Mass attenuation coefficients'!$A$2:$A$37,1)))),0.997*$C649*'Mass attenuation coefficients'!$B$2/'Mass attenuation coefficients'!$A$2)</f>
        <v>0.176792371965</v>
      </c>
      <c r="I649" s="83">
        <f>_xlfn.IFNA(INDEX('Shultis Faw'!$C$2:$C$26,MATCH($C649,'Shultis Faw'!$A$2:$A$26,1))+($C649-INDEX('Shultis Faw'!$A$2:$A$26,MATCH($C649,'Shultis Faw'!$A$2:$A$26,1)))*(INDEX('Shultis Faw'!$C$2:$C$26,MATCH($C649,'Shultis Faw'!$A$2:$A$26,1)+1)-INDEX('Shultis Faw'!$C$2:$C$26,MATCH($C649,'Shultis Faw'!$A$2:$A$26,1)))/(INDEX('Shultis Faw'!$A$2:$A$26,MATCH($C649,'Shultis Faw'!$A$2:$A$26,1)+1)-INDEX('Shultis Faw'!$A$2:$A$26,MATCH($C649,'Shultis Faw'!$A$2:$A$26,1))),$C649*'Shultis Faw'!$C$2/'Shultis Faw'!$A$2)</f>
        <v>4.8647877400000006</v>
      </c>
      <c r="J649" s="83">
        <f>_xlfn.IFNA(INDEX('Shultis Faw'!$D$2:$D$26,MATCH($C649,'Shultis Faw'!$A$2:$A$26,1))+($C649-INDEX('Shultis Faw'!$A$2:$A$26,MATCH($C649,'Shultis Faw'!$A$2:$A$26,1)))*(INDEX('Shultis Faw'!$D$2:$D$26,MATCH($C649,'Shultis Faw'!$A$2:$A$26,1)+1)-INDEX('Shultis Faw'!$D$2:$D$26,MATCH($C649,'Shultis Faw'!$A$2:$A$26,1)))/(INDEX('Shultis Faw'!$A$2:$A$26,MATCH($C649,'Shultis Faw'!$A$2:$A$26,1)+1)-INDEX('Shultis Faw'!$A$2:$A$26,MATCH($C649,'Shultis Faw'!$A$2:$A$26,1))),$C649*'Shultis Faw'!$D$2/'Shultis Faw'!$A$2)</f>
        <v>2.13845047</v>
      </c>
      <c r="K649" s="83">
        <f>_xlfn.IFNA(INDEX('Shultis Faw'!$B$2:$B$26,MATCH($C649,'Shultis Faw'!$A$2:$A$26,1))+($C649-INDEX('Shultis Faw'!$A$2:$A$26,MATCH($C649,'Shultis Faw'!$A$2:$A$26,1)))*(INDEX('Shultis Faw'!$B$2:$B$26,MATCH($C649,'Shultis Faw'!$A$2:$A$26,1)+1)-INDEX('Shultis Faw'!$B$2:$B$26,MATCH($C649,'Shultis Faw'!$A$2:$A$26,1)))/(INDEX('Shultis Faw'!$A$2:$A$26,MATCH($C649,'Shultis Faw'!$A$2:$A$26,1)+1)-INDEX('Shultis Faw'!$A$2:$A$26,MATCH($C649,'Shultis Faw'!$A$2:$A$26,1))),$C649*'Shultis Faw'!$B$2/'Shultis Faw'!$A$2)</f>
        <v>-0.17682783000000002</v>
      </c>
      <c r="L649" s="83">
        <f>_xlfn.IFNA(INDEX('Shultis Faw'!$E$2:$E$26,MATCH($C649,'Shultis Faw'!$A$2:$A$26,1))+($C649-INDEX('Shultis Faw'!$A$2:$A$26,MATCH($C649,'Shultis Faw'!$A$2:$A$26,1)))*(INDEX('Shultis Faw'!$E$2:$E$26,MATCH($C649,'Shultis Faw'!$A$2:$A$26,1)+1)-INDEX('Shultis Faw'!$E$2:$E$26,MATCH($C649,'Shultis Faw'!$A$2:$A$26,1)))/(INDEX('Shultis Faw'!$A$2:$A$26,MATCH($C649,'Shultis Faw'!$A$2:$A$26,1)+1)-INDEX('Shultis Faw'!$A$2:$A$26,MATCH($C649,'Shultis Faw'!$A$2:$A$26,1))),$C649*'Shultis Faw'!$E$2/'Shultis Faw'!$A$2)</f>
        <v>7.9746436000000004E-2</v>
      </c>
      <c r="M649" s="83">
        <f>_xlfn.IFNA(INDEX('Shultis Faw'!$F$2:$F$26,MATCH($C649,'Shultis Faw'!$A$2:$A$26,1))+($C649-INDEX('Shultis Faw'!$A$2:$A$26,MATCH($C649,'Shultis Faw'!$A$2:$A$26,1)))*(INDEX('Shultis Faw'!$F$2:$F$26,MATCH($C649,'Shultis Faw'!$A$2:$A$26,1)+1)-INDEX('Shultis Faw'!$F$2:$F$26,MATCH($C649,'Shultis Faw'!$A$2:$A$26,1)))/(INDEX('Shultis Faw'!$A$2:$A$26,MATCH($C649,'Shultis Faw'!$A$2:$A$26,1)+1)-INDEX('Shultis Faw'!$A$2:$A$26,MATCH($C649,'Shultis Faw'!$A$2:$A$26,1))),$C649*'Shultis Faw'!$F$2/'Shultis Faw'!$A$2)</f>
        <v>13.503252099999999</v>
      </c>
      <c r="N649" s="83">
        <f>J649*(H649*'Externe blootstelling'!$D$23/2)^K649+L649*(TANH(((H649*'Externe blootstelling'!$D$23)/(2*M649))-2)-TANH(-2))/(1-TANH(-2))</f>
        <v>1.8003957516147455</v>
      </c>
      <c r="O649" s="83">
        <f>IF(N649=1,1+(I649-1)*H649*'Externe blootstelling'!$D$23/2,1+(I649-1)*(N649^(H649*'Externe blootstelling'!$D$23/2)-1)/(N649-1))</f>
        <v>19.134346262823566</v>
      </c>
      <c r="P649" s="67">
        <f>G649*EXP(-H649*'Externe blootstelling'!$D$23/2)*O649</f>
        <v>2.0004023253786828E-3</v>
      </c>
      <c r="Q649" s="68"/>
    </row>
    <row r="650" spans="1:17" x14ac:dyDescent="0.2">
      <c r="A650" s="217"/>
      <c r="B650" s="64" t="s">
        <v>102</v>
      </c>
      <c r="C650" s="66">
        <v>9.2621300000000004E-2</v>
      </c>
      <c r="D650" s="66">
        <f t="shared" si="43"/>
        <v>1.4819408E-14</v>
      </c>
      <c r="E650" s="66">
        <v>9.6000000000000002E-4</v>
      </c>
      <c r="F650" s="66">
        <f>_xlfn.IFNA(INDEX('hp (pSv cm2)'!$B$2:$B$52,MATCH($C650,'hp (pSv cm2)'!$A$2:$A$52,1))+($C650-INDEX('hp (pSv cm2)'!$A$2:$A$52,MATCH($C650,'hp (pSv cm2)'!$A$2:$A$52,1)))*(INDEX('hp (pSv cm2)'!$B$2:$B$52,MATCH($C650,'hp (pSv cm2)'!$A$2:$A$52,1)+1)-INDEX('hp (pSv cm2)'!$B$2:$B$52,MATCH($C650,'hp (pSv cm2)'!$A$2:$A$52,1)))/(INDEX('hp (pSv cm2)'!$A$2:$A$52,MATCH($C650,'hp (pSv cm2)'!$A$2:$A$52,1)+1)-INDEX('hp (pSv cm2)'!$A$2:$A$52,MATCH($C650,'hp (pSv cm2)'!$A$2:$A$52,1))),$C650*'hp (pSv cm2)'!$B$2/'hp (pSv cm2)'!$A$2)</f>
        <v>0.49032987500000003</v>
      </c>
      <c r="G650" s="67">
        <f t="shared" si="44"/>
        <v>4.7071668000000003E-4</v>
      </c>
      <c r="H650" s="83">
        <f>_xlfn.IFNA(0.997*(INDEX('Mass attenuation coefficients'!$B$2:$B$37,MATCH($C650,'Mass attenuation coefficients'!$A$2:$A$37,1))+($C650-INDEX('Mass attenuation coefficients'!$A$2:$A$37,MATCH($C650,'Mass attenuation coefficients'!$A$2:$A$37,1)))*(INDEX('Mass attenuation coefficients'!$B$2:$B$37,MATCH($C650,'Mass attenuation coefficients'!$A$2:$A$37,1)+1)-INDEX('Mass attenuation coefficients'!$B$2:$B$37,MATCH($C650,'Mass attenuation coefficients'!$A$2:$A$37,1)))/(INDEX('Mass attenuation coefficients'!$A$2:$A$37,MATCH($C650,'Mass attenuation coefficients'!$A$2:$A$37,1)+1)-INDEX('Mass attenuation coefficients'!$A$2:$A$37,MATCH($C650,'Mass attenuation coefficients'!$A$2:$A$37,1)))),0.997*$C650*'Mass attenuation coefficients'!$B$2/'Mass attenuation coefficients'!$A$2)</f>
        <v>0.17496966653499998</v>
      </c>
      <c r="I650" s="83">
        <f>_xlfn.IFNA(INDEX('Shultis Faw'!$C$2:$C$26,MATCH($C650,'Shultis Faw'!$A$2:$A$26,1))+($C650-INDEX('Shultis Faw'!$A$2:$A$26,MATCH($C650,'Shultis Faw'!$A$2:$A$26,1)))*(INDEX('Shultis Faw'!$C$2:$C$26,MATCH($C650,'Shultis Faw'!$A$2:$A$26,1)+1)-INDEX('Shultis Faw'!$C$2:$C$26,MATCH($C650,'Shultis Faw'!$A$2:$A$26,1)))/(INDEX('Shultis Faw'!$A$2:$A$26,MATCH($C650,'Shultis Faw'!$A$2:$A$26,1)+1)-INDEX('Shultis Faw'!$A$2:$A$26,MATCH($C650,'Shultis Faw'!$A$2:$A$26,1))),$C650*'Shultis Faw'!$C$2/'Shultis Faw'!$A$2)</f>
        <v>4.8090982599999998</v>
      </c>
      <c r="J650" s="83">
        <f>_xlfn.IFNA(INDEX('Shultis Faw'!$D$2:$D$26,MATCH($C650,'Shultis Faw'!$A$2:$A$26,1))+($C650-INDEX('Shultis Faw'!$A$2:$A$26,MATCH($C650,'Shultis Faw'!$A$2:$A$26,1)))*(INDEX('Shultis Faw'!$D$2:$D$26,MATCH($C650,'Shultis Faw'!$A$2:$A$26,1)+1)-INDEX('Shultis Faw'!$D$2:$D$26,MATCH($C650,'Shultis Faw'!$A$2:$A$26,1)))/(INDEX('Shultis Faw'!$A$2:$A$26,MATCH($C650,'Shultis Faw'!$A$2:$A$26,1)+1)-INDEX('Shultis Faw'!$A$2:$A$26,MATCH($C650,'Shultis Faw'!$A$2:$A$26,1))),$C650*'Shultis Faw'!$D$2/'Shultis Faw'!$A$2)</f>
        <v>2.1612325299999999</v>
      </c>
      <c r="K650" s="83">
        <f>_xlfn.IFNA(INDEX('Shultis Faw'!$B$2:$B$26,MATCH($C650,'Shultis Faw'!$A$2:$A$26,1))+($C650-INDEX('Shultis Faw'!$A$2:$A$26,MATCH($C650,'Shultis Faw'!$A$2:$A$26,1)))*(INDEX('Shultis Faw'!$B$2:$B$26,MATCH($C650,'Shultis Faw'!$A$2:$A$26,1)+1)-INDEX('Shultis Faw'!$B$2:$B$26,MATCH($C650,'Shultis Faw'!$A$2:$A$26,1)))/(INDEX('Shultis Faw'!$A$2:$A$26,MATCH($C650,'Shultis Faw'!$A$2:$A$26,1)+1)-INDEX('Shultis Faw'!$A$2:$A$26,MATCH($C650,'Shultis Faw'!$A$2:$A$26,1))),$C650*'Shultis Faw'!$B$2/'Shultis Faw'!$A$2)</f>
        <v>-0.17935917000000001</v>
      </c>
      <c r="L650" s="83">
        <f>_xlfn.IFNA(INDEX('Shultis Faw'!$E$2:$E$26,MATCH($C650,'Shultis Faw'!$A$2:$A$26,1))+($C650-INDEX('Shultis Faw'!$A$2:$A$26,MATCH($C650,'Shultis Faw'!$A$2:$A$26,1)))*(INDEX('Shultis Faw'!$E$2:$E$26,MATCH($C650,'Shultis Faw'!$A$2:$A$26,1)+1)-INDEX('Shultis Faw'!$E$2:$E$26,MATCH($C650,'Shultis Faw'!$A$2:$A$26,1)))/(INDEX('Shultis Faw'!$A$2:$A$26,MATCH($C650,'Shultis Faw'!$A$2:$A$26,1)+1)-INDEX('Shultis Faw'!$A$2:$A$26,MATCH($C650,'Shultis Faw'!$A$2:$A$26,1))),$C650*'Shultis Faw'!$E$2/'Shultis Faw'!$A$2)</f>
        <v>8.0533964E-2</v>
      </c>
      <c r="M650" s="83">
        <f>_xlfn.IFNA(INDEX('Shultis Faw'!$F$2:$F$26,MATCH($C650,'Shultis Faw'!$A$2:$A$26,1))+($C650-INDEX('Shultis Faw'!$A$2:$A$26,MATCH($C650,'Shultis Faw'!$A$2:$A$26,1)))*(INDEX('Shultis Faw'!$F$2:$F$26,MATCH($C650,'Shultis Faw'!$A$2:$A$26,1)+1)-INDEX('Shultis Faw'!$F$2:$F$26,MATCH($C650,'Shultis Faw'!$A$2:$A$26,1)))/(INDEX('Shultis Faw'!$A$2:$A$26,MATCH($C650,'Shultis Faw'!$A$2:$A$26,1)+1)-INDEX('Shultis Faw'!$A$2:$A$26,MATCH($C650,'Shultis Faw'!$A$2:$A$26,1))),$C650*'Shultis Faw'!$F$2/'Shultis Faw'!$A$2)</f>
        <v>13.4554379</v>
      </c>
      <c r="N650" s="83">
        <f>J650*(H650*'Externe blootstelling'!$D$23/2)^K650+L650*(TANH(((H650*'Externe blootstelling'!$D$23)/(2*M650))-2)-TANH(-2))/(1-TANH(-2))</f>
        <v>1.8184610454901045</v>
      </c>
      <c r="O650" s="83">
        <f>IF(N650=1,1+(I650-1)*H650*'Externe blootstelling'!$D$23/2,1+(I650-1)*(N650^(H650*'Externe blootstelling'!$D$23/2)-1)/(N650-1))</f>
        <v>18.703820403619865</v>
      </c>
      <c r="P650" s="67">
        <f>G650*EXP(-H650*'Externe blootstelling'!$D$23/2)*O650</f>
        <v>6.3806438105047864E-4</v>
      </c>
      <c r="Q650" s="68"/>
    </row>
    <row r="651" spans="1:17" x14ac:dyDescent="0.2">
      <c r="A651" s="217"/>
      <c r="B651" s="64" t="s">
        <v>104</v>
      </c>
      <c r="C651" s="66">
        <v>0.13058</v>
      </c>
      <c r="D651" s="66">
        <f t="shared" si="43"/>
        <v>2.0892799999999997E-14</v>
      </c>
      <c r="E651" s="66">
        <v>1.33E-3</v>
      </c>
      <c r="F651" s="66">
        <f>_xlfn.IFNA(INDEX('hp (pSv cm2)'!$B$2:$B$52,MATCH($C651,'hp (pSv cm2)'!$A$2:$A$52,1))+($C651-INDEX('hp (pSv cm2)'!$A$2:$A$52,MATCH($C651,'hp (pSv cm2)'!$A$2:$A$52,1)))*(INDEX('hp (pSv cm2)'!$B$2:$B$52,MATCH($C651,'hp (pSv cm2)'!$A$2:$A$52,1)+1)-INDEX('hp (pSv cm2)'!$B$2:$B$52,MATCH($C651,'hp (pSv cm2)'!$A$2:$A$52,1)))/(INDEX('hp (pSv cm2)'!$A$2:$A$52,MATCH($C651,'hp (pSv cm2)'!$A$2:$A$52,1)+1)-INDEX('hp (pSv cm2)'!$A$2:$A$52,MATCH($C651,'hp (pSv cm2)'!$A$2:$A$52,1))),$C651*'hp (pSv cm2)'!$B$2/'hp (pSv cm2)'!$A$2)</f>
        <v>0.65805639999999999</v>
      </c>
      <c r="G651" s="67">
        <f t="shared" si="44"/>
        <v>8.7521501199999999E-4</v>
      </c>
      <c r="H651" s="83">
        <f>_xlfn.IFNA(0.997*(INDEX('Mass attenuation coefficients'!$B$2:$B$37,MATCH($C651,'Mass attenuation coefficients'!$A$2:$A$37,1))+($C651-INDEX('Mass attenuation coefficients'!$A$2:$A$37,MATCH($C651,'Mass attenuation coefficients'!$A$2:$A$37,1)))*(INDEX('Mass attenuation coefficients'!$B$2:$B$37,MATCH($C651,'Mass attenuation coefficients'!$A$2:$A$37,1)+1)-INDEX('Mass attenuation coefficients'!$B$2:$B$37,MATCH($C651,'Mass attenuation coefficients'!$A$2:$A$37,1)))/(INDEX('Mass attenuation coefficients'!$A$2:$A$37,MATCH($C651,'Mass attenuation coefficients'!$A$2:$A$37,1)+1)-INDEX('Mass attenuation coefficients'!$A$2:$A$37,MATCH($C651,'Mass attenuation coefficients'!$A$2:$A$37,1)))),0.997*$C651*'Mass attenuation coefficients'!$B$2/'Mass attenuation coefficients'!$A$2)</f>
        <v>0.15787064296</v>
      </c>
      <c r="I651" s="83">
        <f>_xlfn.IFNA(INDEX('Shultis Faw'!$C$2:$C$26,MATCH($C651,'Shultis Faw'!$A$2:$A$26,1))+($C651-INDEX('Shultis Faw'!$A$2:$A$26,MATCH($C651,'Shultis Faw'!$A$2:$A$26,1)))*(INDEX('Shultis Faw'!$C$2:$C$26,MATCH($C651,'Shultis Faw'!$A$2:$A$26,1)+1)-INDEX('Shultis Faw'!$C$2:$C$26,MATCH($C651,'Shultis Faw'!$A$2:$A$26,1)))/(INDEX('Shultis Faw'!$A$2:$A$26,MATCH($C651,'Shultis Faw'!$A$2:$A$26,1)+1)-INDEX('Shultis Faw'!$A$2:$A$26,MATCH($C651,'Shultis Faw'!$A$2:$A$26,1))),$C651*'Shultis Faw'!$C$2/'Shultis Faw'!$A$2)</f>
        <v>4.1945144000000001</v>
      </c>
      <c r="J651" s="83">
        <f>_xlfn.IFNA(INDEX('Shultis Faw'!$D$2:$D$26,MATCH($C651,'Shultis Faw'!$A$2:$A$26,1))+($C651-INDEX('Shultis Faw'!$A$2:$A$26,MATCH($C651,'Shultis Faw'!$A$2:$A$26,1)))*(INDEX('Shultis Faw'!$D$2:$D$26,MATCH($C651,'Shultis Faw'!$A$2:$A$26,1)+1)-INDEX('Shultis Faw'!$D$2:$D$26,MATCH($C651,'Shultis Faw'!$A$2:$A$26,1)))/(INDEX('Shultis Faw'!$A$2:$A$26,MATCH($C651,'Shultis Faw'!$A$2:$A$26,1)+1)-INDEX('Shultis Faw'!$A$2:$A$26,MATCH($C651,'Shultis Faw'!$A$2:$A$26,1))),$C651*'Shultis Faw'!$D$2/'Shultis Faw'!$A$2)</f>
        <v>2.2338436000000002</v>
      </c>
      <c r="K651" s="83">
        <f>_xlfn.IFNA(INDEX('Shultis Faw'!$B$2:$B$26,MATCH($C651,'Shultis Faw'!$A$2:$A$26,1))+($C651-INDEX('Shultis Faw'!$A$2:$A$26,MATCH($C651,'Shultis Faw'!$A$2:$A$26,1)))*(INDEX('Shultis Faw'!$B$2:$B$26,MATCH($C651,'Shultis Faw'!$A$2:$A$26,1)+1)-INDEX('Shultis Faw'!$B$2:$B$26,MATCH($C651,'Shultis Faw'!$A$2:$A$26,1)))/(INDEX('Shultis Faw'!$A$2:$A$26,MATCH($C651,'Shultis Faw'!$A$2:$A$26,1)+1)-INDEX('Shultis Faw'!$A$2:$A$26,MATCH($C651,'Shultis Faw'!$A$2:$A$26,1))),$C651*'Shultis Faw'!$B$2/'Shultis Faw'!$A$2)</f>
        <v>-0.18538840000000001</v>
      </c>
      <c r="L651" s="83">
        <f>_xlfn.IFNA(INDEX('Shultis Faw'!$E$2:$E$26,MATCH($C651,'Shultis Faw'!$A$2:$A$26,1))+($C651-INDEX('Shultis Faw'!$A$2:$A$26,MATCH($C651,'Shultis Faw'!$A$2:$A$26,1)))*(INDEX('Shultis Faw'!$E$2:$E$26,MATCH($C651,'Shultis Faw'!$A$2:$A$26,1)+1)-INDEX('Shultis Faw'!$E$2:$E$26,MATCH($C651,'Shultis Faw'!$A$2:$A$26,1)))/(INDEX('Shultis Faw'!$A$2:$A$26,MATCH($C651,'Shultis Faw'!$A$2:$A$26,1)+1)-INDEX('Shultis Faw'!$A$2:$A$26,MATCH($C651,'Shultis Faw'!$A$2:$A$26,1))),$C651*'Shultis Faw'!$E$2/'Shultis Faw'!$A$2)</f>
        <v>7.9603160000000006E-2</v>
      </c>
      <c r="M651" s="83">
        <f>_xlfn.IFNA(INDEX('Shultis Faw'!$F$2:$F$26,MATCH($C651,'Shultis Faw'!$A$2:$A$26,1))+($C651-INDEX('Shultis Faw'!$A$2:$A$26,MATCH($C651,'Shultis Faw'!$A$2:$A$26,1)))*(INDEX('Shultis Faw'!$F$2:$F$26,MATCH($C651,'Shultis Faw'!$A$2:$A$26,1)+1)-INDEX('Shultis Faw'!$F$2:$F$26,MATCH($C651,'Shultis Faw'!$A$2:$A$26,1)))/(INDEX('Shultis Faw'!$A$2:$A$26,MATCH($C651,'Shultis Faw'!$A$2:$A$26,1)+1)-INDEX('Shultis Faw'!$A$2:$A$26,MATCH($C651,'Shultis Faw'!$A$2:$A$26,1))),$C651*'Shultis Faw'!$F$2/'Shultis Faw'!$A$2)</f>
        <v>13.855976</v>
      </c>
      <c r="N651" s="83">
        <f>J651*(H651*'Externe blootstelling'!$D$23/2)^K651+L651*(TANH(((H651*'Externe blootstelling'!$D$23)/(2*M651))-2)-TANH(-2))/(1-TANH(-2))</f>
        <v>1.9044817192286569</v>
      </c>
      <c r="O651" s="83">
        <f>IF(N651=1,1+(I651-1)*H651*'Externe blootstelling'!$D$23/2,1+(I651-1)*(N651^(H651*'Externe blootstelling'!$D$23/2)-1)/(N651-1))</f>
        <v>13.706152928526551</v>
      </c>
      <c r="P651" s="67">
        <f>G651*EXP(-H651*'Externe blootstelling'!$D$23/2)*O651</f>
        <v>1.1235569618007625E-3</v>
      </c>
      <c r="Q651" s="68"/>
    </row>
    <row r="652" spans="1:17" x14ac:dyDescent="0.2">
      <c r="A652" s="217"/>
      <c r="B652" s="64" t="s">
        <v>104</v>
      </c>
      <c r="C652" s="66">
        <v>0.22403999999999999</v>
      </c>
      <c r="D652" s="66">
        <f t="shared" si="43"/>
        <v>3.5846399999999998E-14</v>
      </c>
      <c r="E652" s="66">
        <v>1.4E-5</v>
      </c>
      <c r="F652" s="66">
        <f>_xlfn.IFNA(INDEX('hp (pSv cm2)'!$B$2:$B$52,MATCH($C652,'hp (pSv cm2)'!$A$2:$A$52,1))+($C652-INDEX('hp (pSv cm2)'!$A$2:$A$52,MATCH($C652,'hp (pSv cm2)'!$A$2:$A$52,1)))*(INDEX('hp (pSv cm2)'!$B$2:$B$52,MATCH($C652,'hp (pSv cm2)'!$A$2:$A$52,1)+1)-INDEX('hp (pSv cm2)'!$B$2:$B$52,MATCH($C652,'hp (pSv cm2)'!$A$2:$A$52,1)))/(INDEX('hp (pSv cm2)'!$A$2:$A$52,MATCH($C652,'hp (pSv cm2)'!$A$2:$A$52,1)+1)-INDEX('hp (pSv cm2)'!$A$2:$A$52,MATCH($C652,'hp (pSv cm2)'!$A$2:$A$52,1))),$C652*'hp (pSv cm2)'!$B$2/'hp (pSv cm2)'!$A$2)</f>
        <v>1.1226039999999999</v>
      </c>
      <c r="G652" s="67">
        <f t="shared" si="44"/>
        <v>1.5716455999999997E-5</v>
      </c>
      <c r="H652" s="83">
        <f>_xlfn.IFNA(0.997*(INDEX('Mass attenuation coefficients'!$B$2:$B$37,MATCH($C652,'Mass attenuation coefficients'!$A$2:$A$37,1))+($C652-INDEX('Mass attenuation coefficients'!$A$2:$A$37,MATCH($C652,'Mass attenuation coefficients'!$A$2:$A$37,1)))*(INDEX('Mass attenuation coefficients'!$B$2:$B$37,MATCH($C652,'Mass attenuation coefficients'!$A$2:$A$37,1)+1)-INDEX('Mass attenuation coefficients'!$B$2:$B$37,MATCH($C652,'Mass attenuation coefficients'!$A$2:$A$37,1)))/(INDEX('Mass attenuation coefficients'!$A$2:$A$37,MATCH($C652,'Mass attenuation coefficients'!$A$2:$A$37,1)+1)-INDEX('Mass attenuation coefficients'!$A$2:$A$37,MATCH($C652,'Mass attenuation coefficients'!$A$2:$A$37,1)))),0.997*$C652*'Mass attenuation coefficients'!$B$2/'Mass attenuation coefficients'!$A$2)</f>
        <v>0.13217891008000002</v>
      </c>
      <c r="I652" s="83">
        <f>_xlfn.IFNA(INDEX('Shultis Faw'!$C$2:$C$26,MATCH($C652,'Shultis Faw'!$A$2:$A$26,1))+($C652-INDEX('Shultis Faw'!$A$2:$A$26,MATCH($C652,'Shultis Faw'!$A$2:$A$26,1)))*(INDEX('Shultis Faw'!$C$2:$C$26,MATCH($C652,'Shultis Faw'!$A$2:$A$26,1)+1)-INDEX('Shultis Faw'!$C$2:$C$26,MATCH($C652,'Shultis Faw'!$A$2:$A$26,1)))/(INDEX('Shultis Faw'!$A$2:$A$26,MATCH($C652,'Shultis Faw'!$A$2:$A$26,1)+1)-INDEX('Shultis Faw'!$A$2:$A$26,MATCH($C652,'Shultis Faw'!$A$2:$A$26,1))),$C652*'Shultis Faw'!$C$2/'Shultis Faw'!$A$2)</f>
        <v>3.3438568000000002</v>
      </c>
      <c r="J652" s="83">
        <f>_xlfn.IFNA(INDEX('Shultis Faw'!$D$2:$D$26,MATCH($C652,'Shultis Faw'!$A$2:$A$26,1))+($C652-INDEX('Shultis Faw'!$A$2:$A$26,MATCH($C652,'Shultis Faw'!$A$2:$A$26,1)))*(INDEX('Shultis Faw'!$D$2:$D$26,MATCH($C652,'Shultis Faw'!$A$2:$A$26,1)+1)-INDEX('Shultis Faw'!$D$2:$D$26,MATCH($C652,'Shultis Faw'!$A$2:$A$26,1)))/(INDEX('Shultis Faw'!$A$2:$A$26,MATCH($C652,'Shultis Faw'!$A$2:$A$26,1)+1)-INDEX('Shultis Faw'!$A$2:$A$26,MATCH($C652,'Shultis Faw'!$A$2:$A$26,1))),$C652*'Shultis Faw'!$D$2/'Shultis Faw'!$A$2)</f>
        <v>2.1222672</v>
      </c>
      <c r="K652" s="83">
        <f>_xlfn.IFNA(INDEX('Shultis Faw'!$B$2:$B$26,MATCH($C652,'Shultis Faw'!$A$2:$A$26,1))+($C652-INDEX('Shultis Faw'!$A$2:$A$26,MATCH($C652,'Shultis Faw'!$A$2:$A$26,1)))*(INDEX('Shultis Faw'!$B$2:$B$26,MATCH($C652,'Shultis Faw'!$A$2:$A$26,1)+1)-INDEX('Shultis Faw'!$B$2:$B$26,MATCH($C652,'Shultis Faw'!$A$2:$A$26,1)))/(INDEX('Shultis Faw'!$A$2:$A$26,MATCH($C652,'Shultis Faw'!$A$2:$A$26,1)+1)-INDEX('Shultis Faw'!$A$2:$A$26,MATCH($C652,'Shultis Faw'!$A$2:$A$26,1))),$C652*'Shultis Faw'!$B$2/'Shultis Faw'!$A$2)</f>
        <v>-0.1731152</v>
      </c>
      <c r="L652" s="83">
        <f>_xlfn.IFNA(INDEX('Shultis Faw'!$E$2:$E$26,MATCH($C652,'Shultis Faw'!$A$2:$A$26,1))+($C652-INDEX('Shultis Faw'!$A$2:$A$26,MATCH($C652,'Shultis Faw'!$A$2:$A$26,1)))*(INDEX('Shultis Faw'!$E$2:$E$26,MATCH($C652,'Shultis Faw'!$A$2:$A$26,1)+1)-INDEX('Shultis Faw'!$E$2:$E$26,MATCH($C652,'Shultis Faw'!$A$2:$A$26,1)))/(INDEX('Shultis Faw'!$A$2:$A$26,MATCH($C652,'Shultis Faw'!$A$2:$A$26,1)+1)-INDEX('Shultis Faw'!$A$2:$A$26,MATCH($C652,'Shultis Faw'!$A$2:$A$26,1))),$C652*'Shultis Faw'!$E$2/'Shultis Faw'!$A$2)</f>
        <v>7.4539240000000007E-2</v>
      </c>
      <c r="M652" s="83">
        <f>_xlfn.IFNA(INDEX('Shultis Faw'!$F$2:$F$26,MATCH($C652,'Shultis Faw'!$A$2:$A$26,1))+($C652-INDEX('Shultis Faw'!$A$2:$A$26,MATCH($C652,'Shultis Faw'!$A$2:$A$26,1)))*(INDEX('Shultis Faw'!$F$2:$F$26,MATCH($C652,'Shultis Faw'!$A$2:$A$26,1)+1)-INDEX('Shultis Faw'!$F$2:$F$26,MATCH($C652,'Shultis Faw'!$A$2:$A$26,1)))/(INDEX('Shultis Faw'!$A$2:$A$26,MATCH($C652,'Shultis Faw'!$A$2:$A$26,1)+1)-INDEX('Shultis Faw'!$A$2:$A$26,MATCH($C652,'Shultis Faw'!$A$2:$A$26,1))),$C652*'Shultis Faw'!$F$2/'Shultis Faw'!$A$2)</f>
        <v>14.430284</v>
      </c>
      <c r="N652" s="83">
        <f>J652*(H652*'Externe blootstelling'!$D$23/2)^K652+L652*(TANH(((H652*'Externe blootstelling'!$D$23)/(2*M652))-2)-TANH(-2))/(1-TANH(-2))</f>
        <v>1.8855501772735255</v>
      </c>
      <c r="O652" s="83">
        <f>IF(N652=1,1+(I652-1)*H652*'Externe blootstelling'!$D$23/2,1+(I652-1)*(N652^(H652*'Externe blootstelling'!$D$23/2)-1)/(N652-1))</f>
        <v>7.6605366686062197</v>
      </c>
      <c r="P652" s="67">
        <f>G652*EXP(-H652*'Externe blootstelling'!$D$23/2)*O652</f>
        <v>1.6578500537106533E-5</v>
      </c>
      <c r="Q652" s="68"/>
    </row>
    <row r="653" spans="1:17" x14ac:dyDescent="0.2">
      <c r="A653" s="217"/>
      <c r="B653" s="64" t="s">
        <v>104</v>
      </c>
      <c r="C653" s="66">
        <v>0.27122800000000002</v>
      </c>
      <c r="D653" s="66">
        <f t="shared" si="43"/>
        <v>4.3396479999999999E-14</v>
      </c>
      <c r="E653" s="66">
        <v>0.11070000000000001</v>
      </c>
      <c r="F653" s="66">
        <f>_xlfn.IFNA(INDEX('hp (pSv cm2)'!$B$2:$B$52,MATCH($C653,'hp (pSv cm2)'!$A$2:$A$52,1))+($C653-INDEX('hp (pSv cm2)'!$A$2:$A$52,MATCH($C653,'hp (pSv cm2)'!$A$2:$A$52,1)))*(INDEX('hp (pSv cm2)'!$B$2:$B$52,MATCH($C653,'hp (pSv cm2)'!$A$2:$A$52,1)+1)-INDEX('hp (pSv cm2)'!$B$2:$B$52,MATCH($C653,'hp (pSv cm2)'!$A$2:$A$52,1)))/(INDEX('hp (pSv cm2)'!$A$2:$A$52,MATCH($C653,'hp (pSv cm2)'!$A$2:$A$52,1)+1)-INDEX('hp (pSv cm2)'!$A$2:$A$52,MATCH($C653,'hp (pSv cm2)'!$A$2:$A$52,1))),$C653*'hp (pSv cm2)'!$B$2/'hp (pSv cm2)'!$A$2)</f>
        <v>1.3632628000000002</v>
      </c>
      <c r="G653" s="67">
        <f t="shared" si="44"/>
        <v>0.15091319196000003</v>
      </c>
      <c r="H653" s="83">
        <f>_xlfn.IFNA(0.997*(INDEX('Mass attenuation coefficients'!$B$2:$B$37,MATCH($C653,'Mass attenuation coefficients'!$A$2:$A$37,1))+($C653-INDEX('Mass attenuation coefficients'!$A$2:$A$37,MATCH($C653,'Mass attenuation coefficients'!$A$2:$A$37,1)))*(INDEX('Mass attenuation coefficients'!$B$2:$B$37,MATCH($C653,'Mass attenuation coefficients'!$A$2:$A$37,1)+1)-INDEX('Mass attenuation coefficients'!$B$2:$B$37,MATCH($C653,'Mass attenuation coefficients'!$A$2:$A$37,1)))/(INDEX('Mass attenuation coefficients'!$A$2:$A$37,MATCH($C653,'Mass attenuation coefficients'!$A$2:$A$37,1)+1)-INDEX('Mass attenuation coefficients'!$A$2:$A$37,MATCH($C653,'Mass attenuation coefficients'!$A$2:$A$37,1)))),0.997*$C653*'Mass attenuation coefficients'!$B$2/'Mass attenuation coefficients'!$A$2)</f>
        <v>0.12352236585599999</v>
      </c>
      <c r="I653" s="83">
        <f>_xlfn.IFNA(INDEX('Shultis Faw'!$C$2:$C$26,MATCH($C653,'Shultis Faw'!$A$2:$A$26,1))+($C653-INDEX('Shultis Faw'!$A$2:$A$26,MATCH($C653,'Shultis Faw'!$A$2:$A$26,1)))*(INDEX('Shultis Faw'!$C$2:$C$26,MATCH($C653,'Shultis Faw'!$A$2:$A$26,1)+1)-INDEX('Shultis Faw'!$C$2:$C$26,MATCH($C653,'Shultis Faw'!$A$2:$A$26,1)))/(INDEX('Shultis Faw'!$A$2:$A$26,MATCH($C653,'Shultis Faw'!$A$2:$A$26,1)+1)-INDEX('Shultis Faw'!$A$2:$A$26,MATCH($C653,'Shultis Faw'!$A$2:$A$26,1))),$C653*'Shultis Faw'!$C$2/'Shultis Faw'!$A$2)</f>
        <v>3.08054776</v>
      </c>
      <c r="J653" s="83">
        <f>_xlfn.IFNA(INDEX('Shultis Faw'!$D$2:$D$26,MATCH($C653,'Shultis Faw'!$A$2:$A$26,1))+($C653-INDEX('Shultis Faw'!$A$2:$A$26,MATCH($C653,'Shultis Faw'!$A$2:$A$26,1)))*(INDEX('Shultis Faw'!$D$2:$D$26,MATCH($C653,'Shultis Faw'!$A$2:$A$26,1)+1)-INDEX('Shultis Faw'!$D$2:$D$26,MATCH($C653,'Shultis Faw'!$A$2:$A$26,1)))/(INDEX('Shultis Faw'!$A$2:$A$26,MATCH($C653,'Shultis Faw'!$A$2:$A$26,1)+1)-INDEX('Shultis Faw'!$A$2:$A$26,MATCH($C653,'Shultis Faw'!$A$2:$A$26,1))),$C653*'Shultis Faw'!$D$2/'Shultis Faw'!$A$2)</f>
        <v>2.05997904</v>
      </c>
      <c r="K653" s="83">
        <f>_xlfn.IFNA(INDEX('Shultis Faw'!$B$2:$B$26,MATCH($C653,'Shultis Faw'!$A$2:$A$26,1))+($C653-INDEX('Shultis Faw'!$A$2:$A$26,MATCH($C653,'Shultis Faw'!$A$2:$A$26,1)))*(INDEX('Shultis Faw'!$B$2:$B$26,MATCH($C653,'Shultis Faw'!$A$2:$A$26,1)+1)-INDEX('Shultis Faw'!$B$2:$B$26,MATCH($C653,'Shultis Faw'!$A$2:$A$26,1)))/(INDEX('Shultis Faw'!$A$2:$A$26,MATCH($C653,'Shultis Faw'!$A$2:$A$26,1)+1)-INDEX('Shultis Faw'!$A$2:$A$26,MATCH($C653,'Shultis Faw'!$A$2:$A$26,1))),$C653*'Shultis Faw'!$B$2/'Shultis Faw'!$A$2)</f>
        <v>-0.16745263999999999</v>
      </c>
      <c r="L653" s="83">
        <f>_xlfn.IFNA(INDEX('Shultis Faw'!$E$2:$E$26,MATCH($C653,'Shultis Faw'!$A$2:$A$26,1))+($C653-INDEX('Shultis Faw'!$A$2:$A$26,MATCH($C653,'Shultis Faw'!$A$2:$A$26,1)))*(INDEX('Shultis Faw'!$E$2:$E$26,MATCH($C653,'Shultis Faw'!$A$2:$A$26,1)+1)-INDEX('Shultis Faw'!$E$2:$E$26,MATCH($C653,'Shultis Faw'!$A$2:$A$26,1)))/(INDEX('Shultis Faw'!$A$2:$A$26,MATCH($C653,'Shultis Faw'!$A$2:$A$26,1)+1)-INDEX('Shultis Faw'!$A$2:$A$26,MATCH($C653,'Shultis Faw'!$A$2:$A$26,1))),$C653*'Shultis Faw'!$E$2/'Shultis Faw'!$A$2)</f>
        <v>6.8923867999999999E-2</v>
      </c>
      <c r="M653" s="83">
        <f>_xlfn.IFNA(INDEX('Shultis Faw'!$F$2:$F$26,MATCH($C653,'Shultis Faw'!$A$2:$A$26,1))+($C653-INDEX('Shultis Faw'!$A$2:$A$26,MATCH($C653,'Shultis Faw'!$A$2:$A$26,1)))*(INDEX('Shultis Faw'!$F$2:$F$26,MATCH($C653,'Shultis Faw'!$A$2:$A$26,1)+1)-INDEX('Shultis Faw'!$F$2:$F$26,MATCH($C653,'Shultis Faw'!$A$2:$A$26,1)))/(INDEX('Shultis Faw'!$A$2:$A$26,MATCH($C653,'Shultis Faw'!$A$2:$A$26,1)+1)-INDEX('Shultis Faw'!$A$2:$A$26,MATCH($C653,'Shultis Faw'!$A$2:$A$26,1))),$C653*'Shultis Faw'!$F$2/'Shultis Faw'!$A$2)</f>
        <v>14.293438800000001</v>
      </c>
      <c r="N653" s="83">
        <f>J653*(H653*'Externe blootstelling'!$D$23/2)^K653+L653*(TANH(((H653*'Externe blootstelling'!$D$23)/(2*M653))-2)-TANH(-2))/(1-TANH(-2))</f>
        <v>1.8582242239206992</v>
      </c>
      <c r="O653" s="83">
        <f>IF(N653=1,1+(I653-1)*H653*'Externe blootstelling'!$D$23/2,1+(I653-1)*(N653^(H653*'Externe blootstelling'!$D$23/2)-1)/(N653-1))</f>
        <v>6.2171268048656048</v>
      </c>
      <c r="P653" s="67">
        <f>G653*EXP(-H653*'Externe blootstelling'!$D$23/2)*O653</f>
        <v>0.14710949412936791</v>
      </c>
      <c r="Q653" s="68"/>
    </row>
    <row r="654" spans="1:17" x14ac:dyDescent="0.2">
      <c r="A654" s="217"/>
      <c r="B654" s="64" t="s">
        <v>104</v>
      </c>
      <c r="C654" s="66">
        <v>0.29355999999999999</v>
      </c>
      <c r="D654" s="66">
        <f t="shared" si="43"/>
        <v>4.6969599999999997E-14</v>
      </c>
      <c r="E654" s="66">
        <v>7.5000000000000002E-4</v>
      </c>
      <c r="F654" s="66">
        <f>_xlfn.IFNA(INDEX('hp (pSv cm2)'!$B$2:$B$52,MATCH($C654,'hp (pSv cm2)'!$A$2:$A$52,1))+($C654-INDEX('hp (pSv cm2)'!$A$2:$A$52,MATCH($C654,'hp (pSv cm2)'!$A$2:$A$52,1)))*(INDEX('hp (pSv cm2)'!$B$2:$B$52,MATCH($C654,'hp (pSv cm2)'!$A$2:$A$52,1)+1)-INDEX('hp (pSv cm2)'!$B$2:$B$52,MATCH($C654,'hp (pSv cm2)'!$A$2:$A$52,1)))/(INDEX('hp (pSv cm2)'!$A$2:$A$52,MATCH($C654,'hp (pSv cm2)'!$A$2:$A$52,1)+1)-INDEX('hp (pSv cm2)'!$A$2:$A$52,MATCH($C654,'hp (pSv cm2)'!$A$2:$A$52,1))),$C654*'hp (pSv cm2)'!$B$2/'hp (pSv cm2)'!$A$2)</f>
        <v>1.4771559999999999</v>
      </c>
      <c r="G654" s="67">
        <f t="shared" si="44"/>
        <v>1.107867E-3</v>
      </c>
      <c r="H654" s="83">
        <f>_xlfn.IFNA(0.997*(INDEX('Mass attenuation coefficients'!$B$2:$B$37,MATCH($C654,'Mass attenuation coefficients'!$A$2:$A$37,1))+($C654-INDEX('Mass attenuation coefficients'!$A$2:$A$37,MATCH($C654,'Mass attenuation coefficients'!$A$2:$A$37,1)))*(INDEX('Mass attenuation coefficients'!$B$2:$B$37,MATCH($C654,'Mass attenuation coefficients'!$A$2:$A$37,1)+1)-INDEX('Mass attenuation coefficients'!$B$2:$B$37,MATCH($C654,'Mass attenuation coefficients'!$A$2:$A$37,1)))/(INDEX('Mass attenuation coefficients'!$A$2:$A$37,MATCH($C654,'Mass attenuation coefficients'!$A$2:$A$37,1)+1)-INDEX('Mass attenuation coefficients'!$A$2:$A$37,MATCH($C654,'Mass attenuation coefficients'!$A$2:$A$37,1)))),0.997*$C654*'Mass attenuation coefficients'!$B$2/'Mass attenuation coefficients'!$A$2)</f>
        <v>0.11942560512</v>
      </c>
      <c r="I654" s="83">
        <f>_xlfn.IFNA(INDEX('Shultis Faw'!$C$2:$C$26,MATCH($C654,'Shultis Faw'!$A$2:$A$26,1))+($C654-INDEX('Shultis Faw'!$A$2:$A$26,MATCH($C654,'Shultis Faw'!$A$2:$A$26,1)))*(INDEX('Shultis Faw'!$C$2:$C$26,MATCH($C654,'Shultis Faw'!$A$2:$A$26,1)+1)-INDEX('Shultis Faw'!$C$2:$C$26,MATCH($C654,'Shultis Faw'!$A$2:$A$26,1)))/(INDEX('Shultis Faw'!$A$2:$A$26,MATCH($C654,'Shultis Faw'!$A$2:$A$26,1)+1)-INDEX('Shultis Faw'!$A$2:$A$26,MATCH($C654,'Shultis Faw'!$A$2:$A$26,1))),$C654*'Shultis Faw'!$C$2/'Shultis Faw'!$A$2)</f>
        <v>2.9559351999999999</v>
      </c>
      <c r="J654" s="83">
        <f>_xlfn.IFNA(INDEX('Shultis Faw'!$D$2:$D$26,MATCH($C654,'Shultis Faw'!$A$2:$A$26,1))+($C654-INDEX('Shultis Faw'!$A$2:$A$26,MATCH($C654,'Shultis Faw'!$A$2:$A$26,1)))*(INDEX('Shultis Faw'!$D$2:$D$26,MATCH($C654,'Shultis Faw'!$A$2:$A$26,1)+1)-INDEX('Shultis Faw'!$D$2:$D$26,MATCH($C654,'Shultis Faw'!$A$2:$A$26,1)))/(INDEX('Shultis Faw'!$A$2:$A$26,MATCH($C654,'Shultis Faw'!$A$2:$A$26,1)+1)-INDEX('Shultis Faw'!$A$2:$A$26,MATCH($C654,'Shultis Faw'!$A$2:$A$26,1))),$C654*'Shultis Faw'!$D$2/'Shultis Faw'!$A$2)</f>
        <v>2.0305008</v>
      </c>
      <c r="K654" s="83">
        <f>_xlfn.IFNA(INDEX('Shultis Faw'!$B$2:$B$26,MATCH($C654,'Shultis Faw'!$A$2:$A$26,1))+($C654-INDEX('Shultis Faw'!$A$2:$A$26,MATCH($C654,'Shultis Faw'!$A$2:$A$26,1)))*(INDEX('Shultis Faw'!$B$2:$B$26,MATCH($C654,'Shultis Faw'!$A$2:$A$26,1)+1)-INDEX('Shultis Faw'!$B$2:$B$26,MATCH($C654,'Shultis Faw'!$A$2:$A$26,1)))/(INDEX('Shultis Faw'!$A$2:$A$26,MATCH($C654,'Shultis Faw'!$A$2:$A$26,1)+1)-INDEX('Shultis Faw'!$A$2:$A$26,MATCH($C654,'Shultis Faw'!$A$2:$A$26,1))),$C654*'Shultis Faw'!$B$2/'Shultis Faw'!$A$2)</f>
        <v>-0.1647728</v>
      </c>
      <c r="L654" s="83">
        <f>_xlfn.IFNA(INDEX('Shultis Faw'!$E$2:$E$26,MATCH($C654,'Shultis Faw'!$A$2:$A$26,1))+($C654-INDEX('Shultis Faw'!$A$2:$A$26,MATCH($C654,'Shultis Faw'!$A$2:$A$26,1)))*(INDEX('Shultis Faw'!$E$2:$E$26,MATCH($C654,'Shultis Faw'!$A$2:$A$26,1)+1)-INDEX('Shultis Faw'!$E$2:$E$26,MATCH($C654,'Shultis Faw'!$A$2:$A$26,1)))/(INDEX('Shultis Faw'!$A$2:$A$26,MATCH($C654,'Shultis Faw'!$A$2:$A$26,1)+1)-INDEX('Shultis Faw'!$A$2:$A$26,MATCH($C654,'Shultis Faw'!$A$2:$A$26,1))),$C654*'Shultis Faw'!$E$2/'Shultis Faw'!$A$2)</f>
        <v>6.6266359999999996E-2</v>
      </c>
      <c r="M654" s="83">
        <f>_xlfn.IFNA(INDEX('Shultis Faw'!$F$2:$F$26,MATCH($C654,'Shultis Faw'!$A$2:$A$26,1))+($C654-INDEX('Shultis Faw'!$A$2:$A$26,MATCH($C654,'Shultis Faw'!$A$2:$A$26,1)))*(INDEX('Shultis Faw'!$F$2:$F$26,MATCH($C654,'Shultis Faw'!$A$2:$A$26,1)+1)-INDEX('Shultis Faw'!$F$2:$F$26,MATCH($C654,'Shultis Faw'!$A$2:$A$26,1)))/(INDEX('Shultis Faw'!$A$2:$A$26,MATCH($C654,'Shultis Faw'!$A$2:$A$26,1)+1)-INDEX('Shultis Faw'!$A$2:$A$26,MATCH($C654,'Shultis Faw'!$A$2:$A$26,1))),$C654*'Shultis Faw'!$F$2/'Shultis Faw'!$A$2)</f>
        <v>14.228676</v>
      </c>
      <c r="N654" s="83">
        <f>J654*(H654*'Externe blootstelling'!$D$23/2)^K654+L654*(TANH(((H654*'Externe blootstelling'!$D$23)/(2*M654))-2)-TANH(-2))/(1-TANH(-2))</f>
        <v>1.8448645590995425</v>
      </c>
      <c r="O654" s="83">
        <f>IF(N654=1,1+(I654-1)*H654*'Externe blootstelling'!$D$23/2,1+(I654-1)*(N654^(H654*'Externe blootstelling'!$D$23/2)-1)/(N654-1))</f>
        <v>5.6193610785539398</v>
      </c>
      <c r="P654" s="67">
        <f>G654*EXP(-H654*'Externe blootstelling'!$D$23/2)*O654</f>
        <v>1.0379736910069743E-3</v>
      </c>
      <c r="Q654" s="68"/>
    </row>
    <row r="655" spans="1:17" x14ac:dyDescent="0.2">
      <c r="A655" s="217"/>
      <c r="B655" s="64" t="s">
        <v>104</v>
      </c>
      <c r="C655" s="66">
        <v>0.32200000000000001</v>
      </c>
      <c r="D655" s="66">
        <f t="shared" si="43"/>
        <v>5.1519999999999998E-14</v>
      </c>
      <c r="E655" s="66">
        <v>9.0000000000000007E-7</v>
      </c>
      <c r="F655" s="66">
        <f>_xlfn.IFNA(INDEX('hp (pSv cm2)'!$B$2:$B$52,MATCH($C655,'hp (pSv cm2)'!$A$2:$A$52,1))+($C655-INDEX('hp (pSv cm2)'!$A$2:$A$52,MATCH($C655,'hp (pSv cm2)'!$A$2:$A$52,1)))*(INDEX('hp (pSv cm2)'!$B$2:$B$52,MATCH($C655,'hp (pSv cm2)'!$A$2:$A$52,1)+1)-INDEX('hp (pSv cm2)'!$B$2:$B$52,MATCH($C655,'hp (pSv cm2)'!$A$2:$A$52,1)))/(INDEX('hp (pSv cm2)'!$A$2:$A$52,MATCH($C655,'hp (pSv cm2)'!$A$2:$A$52,1)+1)-INDEX('hp (pSv cm2)'!$A$2:$A$52,MATCH($C655,'hp (pSv cm2)'!$A$2:$A$52,1))),$C655*'hp (pSv cm2)'!$B$2/'hp (pSv cm2)'!$A$2)</f>
        <v>1.6178000000000001</v>
      </c>
      <c r="G655" s="67">
        <f t="shared" ref="G655:G686" si="45">F655*E655</f>
        <v>1.4560200000000002E-6</v>
      </c>
      <c r="H655" s="83">
        <f>_xlfn.IFNA(0.997*(INDEX('Mass attenuation coefficients'!$B$2:$B$37,MATCH($C655,'Mass attenuation coefficients'!$A$2:$A$37,1))+($C655-INDEX('Mass attenuation coefficients'!$A$2:$A$37,MATCH($C655,'Mass attenuation coefficients'!$A$2:$A$37,1)))*(INDEX('Mass attenuation coefficients'!$B$2:$B$37,MATCH($C655,'Mass attenuation coefficients'!$A$2:$A$37,1)+1)-INDEX('Mass attenuation coefficients'!$B$2:$B$37,MATCH($C655,'Mass attenuation coefficients'!$A$2:$A$37,1)))/(INDEX('Mass attenuation coefficients'!$A$2:$A$37,MATCH($C655,'Mass attenuation coefficients'!$A$2:$A$37,1)+1)-INDEX('Mass attenuation coefficients'!$A$2:$A$37,MATCH($C655,'Mass attenuation coefficients'!$A$2:$A$37,1)))),0.997*$C655*'Mass attenuation coefficients'!$B$2/'Mass attenuation coefficients'!$A$2)</f>
        <v>0.11550244999999999</v>
      </c>
      <c r="I655" s="83">
        <f>_xlfn.IFNA(INDEX('Shultis Faw'!$C$2:$C$26,MATCH($C655,'Shultis Faw'!$A$2:$A$26,1))+($C655-INDEX('Shultis Faw'!$A$2:$A$26,MATCH($C655,'Shultis Faw'!$A$2:$A$26,1)))*(INDEX('Shultis Faw'!$C$2:$C$26,MATCH($C655,'Shultis Faw'!$A$2:$A$26,1)+1)-INDEX('Shultis Faw'!$C$2:$C$26,MATCH($C655,'Shultis Faw'!$A$2:$A$26,1)))/(INDEX('Shultis Faw'!$A$2:$A$26,MATCH($C655,'Shultis Faw'!$A$2:$A$26,1)+1)-INDEX('Shultis Faw'!$A$2:$A$26,MATCH($C655,'Shultis Faw'!$A$2:$A$26,1))),$C655*'Shultis Faw'!$C$2/'Shultis Faw'!$A$2)</f>
        <v>2.8628</v>
      </c>
      <c r="J655" s="83">
        <f>_xlfn.IFNA(INDEX('Shultis Faw'!$D$2:$D$26,MATCH($C655,'Shultis Faw'!$A$2:$A$26,1))+($C655-INDEX('Shultis Faw'!$A$2:$A$26,MATCH($C655,'Shultis Faw'!$A$2:$A$26,1)))*(INDEX('Shultis Faw'!$D$2:$D$26,MATCH($C655,'Shultis Faw'!$A$2:$A$26,1)+1)-INDEX('Shultis Faw'!$D$2:$D$26,MATCH($C655,'Shultis Faw'!$A$2:$A$26,1)))/(INDEX('Shultis Faw'!$A$2:$A$26,MATCH($C655,'Shultis Faw'!$A$2:$A$26,1)+1)-INDEX('Shultis Faw'!$A$2:$A$26,MATCH($C655,'Shultis Faw'!$A$2:$A$26,1))),$C655*'Shultis Faw'!$D$2/'Shultis Faw'!$A$2)</f>
        <v>1.9911999999999999</v>
      </c>
      <c r="K655" s="83">
        <f>_xlfn.IFNA(INDEX('Shultis Faw'!$B$2:$B$26,MATCH($C655,'Shultis Faw'!$A$2:$A$26,1))+($C655-INDEX('Shultis Faw'!$A$2:$A$26,MATCH($C655,'Shultis Faw'!$A$2:$A$26,1)))*(INDEX('Shultis Faw'!$B$2:$B$26,MATCH($C655,'Shultis Faw'!$A$2:$A$26,1)+1)-INDEX('Shultis Faw'!$B$2:$B$26,MATCH($C655,'Shultis Faw'!$A$2:$A$26,1)))/(INDEX('Shultis Faw'!$A$2:$A$26,MATCH($C655,'Shultis Faw'!$A$2:$A$26,1)+1)-INDEX('Shultis Faw'!$A$2:$A$26,MATCH($C655,'Shultis Faw'!$A$2:$A$26,1))),$C655*'Shultis Faw'!$B$2/'Shultis Faw'!$A$2)</f>
        <v>-0.16070000000000001</v>
      </c>
      <c r="L655" s="83">
        <f>_xlfn.IFNA(INDEX('Shultis Faw'!$E$2:$E$26,MATCH($C655,'Shultis Faw'!$A$2:$A$26,1))+($C655-INDEX('Shultis Faw'!$A$2:$A$26,MATCH($C655,'Shultis Faw'!$A$2:$A$26,1)))*(INDEX('Shultis Faw'!$E$2:$E$26,MATCH($C655,'Shultis Faw'!$A$2:$A$26,1)+1)-INDEX('Shultis Faw'!$E$2:$E$26,MATCH($C655,'Shultis Faw'!$A$2:$A$26,1)))/(INDEX('Shultis Faw'!$A$2:$A$26,MATCH($C655,'Shultis Faw'!$A$2:$A$26,1)+1)-INDEX('Shultis Faw'!$A$2:$A$26,MATCH($C655,'Shultis Faw'!$A$2:$A$26,1))),$C655*'Shultis Faw'!$E$2/'Shultis Faw'!$A$2)</f>
        <v>6.4180000000000001E-2</v>
      </c>
      <c r="M655" s="83">
        <f>_xlfn.IFNA(INDEX('Shultis Faw'!$F$2:$F$26,MATCH($C655,'Shultis Faw'!$A$2:$A$26,1))+($C655-INDEX('Shultis Faw'!$A$2:$A$26,MATCH($C655,'Shultis Faw'!$A$2:$A$26,1)))*(INDEX('Shultis Faw'!$F$2:$F$26,MATCH($C655,'Shultis Faw'!$A$2:$A$26,1)+1)-INDEX('Shultis Faw'!$F$2:$F$26,MATCH($C655,'Shultis Faw'!$A$2:$A$26,1)))/(INDEX('Shultis Faw'!$A$2:$A$26,MATCH($C655,'Shultis Faw'!$A$2:$A$26,1)+1)-INDEX('Shultis Faw'!$A$2:$A$26,MATCH($C655,'Shultis Faw'!$A$2:$A$26,1))),$C655*'Shultis Faw'!$F$2/'Shultis Faw'!$A$2)</f>
        <v>14.216600000000001</v>
      </c>
      <c r="N655" s="83">
        <f>J655*(H655*'Externe blootstelling'!$D$23/2)^K655+L655*(TANH(((H655*'Externe blootstelling'!$D$23)/(2*M655))-2)-TANH(-2))/(1-TANH(-2))</f>
        <v>1.8231992712700305</v>
      </c>
      <c r="O655" s="83">
        <f>IF(N655=1,1+(I655-1)*H655*'Externe blootstelling'!$D$23/2,1+(I655-1)*(N655^(H655*'Externe blootstelling'!$D$23/2)-1)/(N655-1))</f>
        <v>5.1428123812339068</v>
      </c>
      <c r="P655" s="67">
        <f>G655*EXP(-H655*'Externe blootstelling'!$D$23/2)*O655</f>
        <v>1.3241490433136805E-6</v>
      </c>
      <c r="Q655" s="68"/>
    </row>
    <row r="656" spans="1:17" x14ac:dyDescent="0.2">
      <c r="A656" s="217"/>
      <c r="B656" s="64" t="s">
        <v>104</v>
      </c>
      <c r="C656" s="66">
        <v>0.33089999999999997</v>
      </c>
      <c r="D656" s="66">
        <f t="shared" si="43"/>
        <v>5.2943999999999999E-14</v>
      </c>
      <c r="E656" s="66">
        <v>1.0000000000000001E-5</v>
      </c>
      <c r="F656" s="66">
        <f>_xlfn.IFNA(INDEX('hp (pSv cm2)'!$B$2:$B$52,MATCH($C656,'hp (pSv cm2)'!$A$2:$A$52,1))+($C656-INDEX('hp (pSv cm2)'!$A$2:$A$52,MATCH($C656,'hp (pSv cm2)'!$A$2:$A$52,1)))*(INDEX('hp (pSv cm2)'!$B$2:$B$52,MATCH($C656,'hp (pSv cm2)'!$A$2:$A$52,1)+1)-INDEX('hp (pSv cm2)'!$B$2:$B$52,MATCH($C656,'hp (pSv cm2)'!$A$2:$A$52,1)))/(INDEX('hp (pSv cm2)'!$A$2:$A$52,MATCH($C656,'hp (pSv cm2)'!$A$2:$A$52,1)+1)-INDEX('hp (pSv cm2)'!$A$2:$A$52,MATCH($C656,'hp (pSv cm2)'!$A$2:$A$52,1))),$C656*'hp (pSv cm2)'!$B$2/'hp (pSv cm2)'!$A$2)</f>
        <v>1.6614099999999998</v>
      </c>
      <c r="G656" s="67">
        <f t="shared" si="45"/>
        <v>1.6614100000000001E-5</v>
      </c>
      <c r="H656" s="83">
        <f>_xlfn.IFNA(0.997*(INDEX('Mass attenuation coefficients'!$B$2:$B$37,MATCH($C656,'Mass attenuation coefficients'!$A$2:$A$37,1))+($C656-INDEX('Mass attenuation coefficients'!$A$2:$A$37,MATCH($C656,'Mass attenuation coefficients'!$A$2:$A$37,1)))*(INDEX('Mass attenuation coefficients'!$B$2:$B$37,MATCH($C656,'Mass attenuation coefficients'!$A$2:$A$37,1)+1)-INDEX('Mass attenuation coefficients'!$B$2:$B$37,MATCH($C656,'Mass attenuation coefficients'!$A$2:$A$37,1)))/(INDEX('Mass attenuation coefficients'!$A$2:$A$37,MATCH($C656,'Mass attenuation coefficients'!$A$2:$A$37,1)+1)-INDEX('Mass attenuation coefficients'!$A$2:$A$37,MATCH($C656,'Mass attenuation coefficients'!$A$2:$A$37,1)))),0.997*$C656*'Mass attenuation coefficients'!$B$2/'Mass attenuation coefficients'!$A$2)</f>
        <v>0.11439328750000001</v>
      </c>
      <c r="I656" s="83">
        <f>_xlfn.IFNA(INDEX('Shultis Faw'!$C$2:$C$26,MATCH($C656,'Shultis Faw'!$A$2:$A$26,1))+($C656-INDEX('Shultis Faw'!$A$2:$A$26,MATCH($C656,'Shultis Faw'!$A$2:$A$26,1)))*(INDEX('Shultis Faw'!$C$2:$C$26,MATCH($C656,'Shultis Faw'!$A$2:$A$26,1)+1)-INDEX('Shultis Faw'!$C$2:$C$26,MATCH($C656,'Shultis Faw'!$A$2:$A$26,1)))/(INDEX('Shultis Faw'!$A$2:$A$26,MATCH($C656,'Shultis Faw'!$A$2:$A$26,1)+1)-INDEX('Shultis Faw'!$A$2:$A$26,MATCH($C656,'Shultis Faw'!$A$2:$A$26,1))),$C656*'Shultis Faw'!$C$2/'Shultis Faw'!$A$2)</f>
        <v>2.8396599999999999</v>
      </c>
      <c r="J656" s="83">
        <f>_xlfn.IFNA(INDEX('Shultis Faw'!$D$2:$D$26,MATCH($C656,'Shultis Faw'!$A$2:$A$26,1))+($C656-INDEX('Shultis Faw'!$A$2:$A$26,MATCH($C656,'Shultis Faw'!$A$2:$A$26,1)))*(INDEX('Shultis Faw'!$D$2:$D$26,MATCH($C656,'Shultis Faw'!$A$2:$A$26,1)+1)-INDEX('Shultis Faw'!$D$2:$D$26,MATCH($C656,'Shultis Faw'!$A$2:$A$26,1)))/(INDEX('Shultis Faw'!$A$2:$A$26,MATCH($C656,'Shultis Faw'!$A$2:$A$26,1)+1)-INDEX('Shultis Faw'!$A$2:$A$26,MATCH($C656,'Shultis Faw'!$A$2:$A$26,1))),$C656*'Shultis Faw'!$D$2/'Shultis Faw'!$A$2)</f>
        <v>1.9787399999999999</v>
      </c>
      <c r="K656" s="83">
        <f>_xlfn.IFNA(INDEX('Shultis Faw'!$B$2:$B$26,MATCH($C656,'Shultis Faw'!$A$2:$A$26,1))+($C656-INDEX('Shultis Faw'!$A$2:$A$26,MATCH($C656,'Shultis Faw'!$A$2:$A$26,1)))*(INDEX('Shultis Faw'!$B$2:$B$26,MATCH($C656,'Shultis Faw'!$A$2:$A$26,1)+1)-INDEX('Shultis Faw'!$B$2:$B$26,MATCH($C656,'Shultis Faw'!$A$2:$A$26,1)))/(INDEX('Shultis Faw'!$A$2:$A$26,MATCH($C656,'Shultis Faw'!$A$2:$A$26,1)+1)-INDEX('Shultis Faw'!$A$2:$A$26,MATCH($C656,'Shultis Faw'!$A$2:$A$26,1))),$C656*'Shultis Faw'!$B$2/'Shultis Faw'!$A$2)</f>
        <v>-0.15936500000000001</v>
      </c>
      <c r="L656" s="83">
        <f>_xlfn.IFNA(INDEX('Shultis Faw'!$E$2:$E$26,MATCH($C656,'Shultis Faw'!$A$2:$A$26,1))+($C656-INDEX('Shultis Faw'!$A$2:$A$26,MATCH($C656,'Shultis Faw'!$A$2:$A$26,1)))*(INDEX('Shultis Faw'!$E$2:$E$26,MATCH($C656,'Shultis Faw'!$A$2:$A$26,1)+1)-INDEX('Shultis Faw'!$E$2:$E$26,MATCH($C656,'Shultis Faw'!$A$2:$A$26,1)))/(INDEX('Shultis Faw'!$A$2:$A$26,MATCH($C656,'Shultis Faw'!$A$2:$A$26,1)+1)-INDEX('Shultis Faw'!$A$2:$A$26,MATCH($C656,'Shultis Faw'!$A$2:$A$26,1))),$C656*'Shultis Faw'!$E$2/'Shultis Faw'!$A$2)</f>
        <v>6.3646000000000008E-2</v>
      </c>
      <c r="M656" s="83">
        <f>_xlfn.IFNA(INDEX('Shultis Faw'!$F$2:$F$26,MATCH($C656,'Shultis Faw'!$A$2:$A$26,1))+($C656-INDEX('Shultis Faw'!$A$2:$A$26,MATCH($C656,'Shultis Faw'!$A$2:$A$26,1)))*(INDEX('Shultis Faw'!$F$2:$F$26,MATCH($C656,'Shultis Faw'!$A$2:$A$26,1)+1)-INDEX('Shultis Faw'!$F$2:$F$26,MATCH($C656,'Shultis Faw'!$A$2:$A$26,1)))/(INDEX('Shultis Faw'!$A$2:$A$26,MATCH($C656,'Shultis Faw'!$A$2:$A$26,1)+1)-INDEX('Shultis Faw'!$A$2:$A$26,MATCH($C656,'Shultis Faw'!$A$2:$A$26,1))),$C656*'Shultis Faw'!$F$2/'Shultis Faw'!$A$2)</f>
        <v>14.21927</v>
      </c>
      <c r="N656" s="83">
        <f>J656*(H656*'Externe blootstelling'!$D$23/2)^K656+L656*(TANH(((H656*'Externe blootstelling'!$D$23)/(2*M656))-2)-TANH(-2))/(1-TANH(-2))</f>
        <v>1.8159058210936563</v>
      </c>
      <c r="O656" s="83">
        <f>IF(N656=1,1+(I656-1)*H656*'Externe blootstelling'!$D$23/2,1+(I656-1)*(N656^(H656*'Externe blootstelling'!$D$23/2)-1)/(N656-1))</f>
        <v>5.0211482602887179</v>
      </c>
      <c r="P656" s="67">
        <f>G656*EXP(-H656*'Externe blootstelling'!$D$23/2)*O656</f>
        <v>1.4999412963586245E-5</v>
      </c>
      <c r="Q656" s="68"/>
    </row>
    <row r="657" spans="1:17" x14ac:dyDescent="0.2">
      <c r="A657" s="217"/>
      <c r="B657" s="64" t="s">
        <v>104</v>
      </c>
      <c r="C657" s="66">
        <v>0.3735</v>
      </c>
      <c r="D657" s="66">
        <f t="shared" si="43"/>
        <v>5.9760000000000002E-14</v>
      </c>
      <c r="E657" s="66">
        <v>2.5000000000000002E-6</v>
      </c>
      <c r="F657" s="66">
        <f>_xlfn.IFNA(INDEX('hp (pSv cm2)'!$B$2:$B$52,MATCH($C657,'hp (pSv cm2)'!$A$2:$A$52,1))+($C657-INDEX('hp (pSv cm2)'!$A$2:$A$52,MATCH($C657,'hp (pSv cm2)'!$A$2:$A$52,1)))*(INDEX('hp (pSv cm2)'!$B$2:$B$52,MATCH($C657,'hp (pSv cm2)'!$A$2:$A$52,1)+1)-INDEX('hp (pSv cm2)'!$B$2:$B$52,MATCH($C657,'hp (pSv cm2)'!$A$2:$A$52,1)))/(INDEX('hp (pSv cm2)'!$A$2:$A$52,MATCH($C657,'hp (pSv cm2)'!$A$2:$A$52,1)+1)-INDEX('hp (pSv cm2)'!$A$2:$A$52,MATCH($C657,'hp (pSv cm2)'!$A$2:$A$52,1))),$C657*'hp (pSv cm2)'!$B$2/'hp (pSv cm2)'!$A$2)</f>
        <v>1.87015</v>
      </c>
      <c r="G657" s="67">
        <f t="shared" si="45"/>
        <v>4.6753750000000001E-6</v>
      </c>
      <c r="H657" s="83">
        <f>_xlfn.IFNA(0.997*(INDEX('Mass attenuation coefficients'!$B$2:$B$37,MATCH($C657,'Mass attenuation coefficients'!$A$2:$A$37,1))+($C657-INDEX('Mass attenuation coefficients'!$A$2:$A$37,MATCH($C657,'Mass attenuation coefficients'!$A$2:$A$37,1)))*(INDEX('Mass attenuation coefficients'!$B$2:$B$37,MATCH($C657,'Mass attenuation coefficients'!$A$2:$A$37,1)+1)-INDEX('Mass attenuation coefficients'!$B$2:$B$37,MATCH($C657,'Mass attenuation coefficients'!$A$2:$A$37,1)))/(INDEX('Mass attenuation coefficients'!$A$2:$A$37,MATCH($C657,'Mass attenuation coefficients'!$A$2:$A$37,1)+1)-INDEX('Mass attenuation coefficients'!$A$2:$A$37,MATCH($C657,'Mass attenuation coefficients'!$A$2:$A$37,1)))),0.997*$C657*'Mass attenuation coefficients'!$B$2/'Mass attenuation coefficients'!$A$2)</f>
        <v>0.1090842625</v>
      </c>
      <c r="I657" s="83">
        <f>_xlfn.IFNA(INDEX('Shultis Faw'!$C$2:$C$26,MATCH($C657,'Shultis Faw'!$A$2:$A$26,1))+($C657-INDEX('Shultis Faw'!$A$2:$A$26,MATCH($C657,'Shultis Faw'!$A$2:$A$26,1)))*(INDEX('Shultis Faw'!$C$2:$C$26,MATCH($C657,'Shultis Faw'!$A$2:$A$26,1)+1)-INDEX('Shultis Faw'!$C$2:$C$26,MATCH($C657,'Shultis Faw'!$A$2:$A$26,1)))/(INDEX('Shultis Faw'!$A$2:$A$26,MATCH($C657,'Shultis Faw'!$A$2:$A$26,1)+1)-INDEX('Shultis Faw'!$A$2:$A$26,MATCH($C657,'Shultis Faw'!$A$2:$A$26,1))),$C657*'Shultis Faw'!$C$2/'Shultis Faw'!$A$2)</f>
        <v>2.7289000000000003</v>
      </c>
      <c r="J657" s="83">
        <f>_xlfn.IFNA(INDEX('Shultis Faw'!$D$2:$D$26,MATCH($C657,'Shultis Faw'!$A$2:$A$26,1))+($C657-INDEX('Shultis Faw'!$A$2:$A$26,MATCH($C657,'Shultis Faw'!$A$2:$A$26,1)))*(INDEX('Shultis Faw'!$D$2:$D$26,MATCH($C657,'Shultis Faw'!$A$2:$A$26,1)+1)-INDEX('Shultis Faw'!$D$2:$D$26,MATCH($C657,'Shultis Faw'!$A$2:$A$26,1)))/(INDEX('Shultis Faw'!$A$2:$A$26,MATCH($C657,'Shultis Faw'!$A$2:$A$26,1)+1)-INDEX('Shultis Faw'!$A$2:$A$26,MATCH($C657,'Shultis Faw'!$A$2:$A$26,1))),$C657*'Shultis Faw'!$D$2/'Shultis Faw'!$A$2)</f>
        <v>1.9190999999999998</v>
      </c>
      <c r="K657" s="83">
        <f>_xlfn.IFNA(INDEX('Shultis Faw'!$B$2:$B$26,MATCH($C657,'Shultis Faw'!$A$2:$A$26,1))+($C657-INDEX('Shultis Faw'!$A$2:$A$26,MATCH($C657,'Shultis Faw'!$A$2:$A$26,1)))*(INDEX('Shultis Faw'!$B$2:$B$26,MATCH($C657,'Shultis Faw'!$A$2:$A$26,1)+1)-INDEX('Shultis Faw'!$B$2:$B$26,MATCH($C657,'Shultis Faw'!$A$2:$A$26,1)))/(INDEX('Shultis Faw'!$A$2:$A$26,MATCH($C657,'Shultis Faw'!$A$2:$A$26,1)+1)-INDEX('Shultis Faw'!$A$2:$A$26,MATCH($C657,'Shultis Faw'!$A$2:$A$26,1))),$C657*'Shultis Faw'!$B$2/'Shultis Faw'!$A$2)</f>
        <v>-0.152975</v>
      </c>
      <c r="L657" s="83">
        <f>_xlfn.IFNA(INDEX('Shultis Faw'!$E$2:$E$26,MATCH($C657,'Shultis Faw'!$A$2:$A$26,1))+($C657-INDEX('Shultis Faw'!$A$2:$A$26,MATCH($C657,'Shultis Faw'!$A$2:$A$26,1)))*(INDEX('Shultis Faw'!$E$2:$E$26,MATCH($C657,'Shultis Faw'!$A$2:$A$26,1)+1)-INDEX('Shultis Faw'!$E$2:$E$26,MATCH($C657,'Shultis Faw'!$A$2:$A$26,1)))/(INDEX('Shultis Faw'!$A$2:$A$26,MATCH($C657,'Shultis Faw'!$A$2:$A$26,1)+1)-INDEX('Shultis Faw'!$A$2:$A$26,MATCH($C657,'Shultis Faw'!$A$2:$A$26,1))),$C657*'Shultis Faw'!$E$2/'Shultis Faw'!$A$2)</f>
        <v>6.1089999999999998E-2</v>
      </c>
      <c r="M657" s="83">
        <f>_xlfn.IFNA(INDEX('Shultis Faw'!$F$2:$F$26,MATCH($C657,'Shultis Faw'!$A$2:$A$26,1))+($C657-INDEX('Shultis Faw'!$A$2:$A$26,MATCH($C657,'Shultis Faw'!$A$2:$A$26,1)))*(INDEX('Shultis Faw'!$F$2:$F$26,MATCH($C657,'Shultis Faw'!$A$2:$A$26,1)+1)-INDEX('Shultis Faw'!$F$2:$F$26,MATCH($C657,'Shultis Faw'!$A$2:$A$26,1)))/(INDEX('Shultis Faw'!$A$2:$A$26,MATCH($C657,'Shultis Faw'!$A$2:$A$26,1)+1)-INDEX('Shultis Faw'!$A$2:$A$26,MATCH($C657,'Shultis Faw'!$A$2:$A$26,1))),$C657*'Shultis Faw'!$F$2/'Shultis Faw'!$A$2)</f>
        <v>14.232050000000001</v>
      </c>
      <c r="N657" s="83">
        <f>J657*(H657*'Externe blootstelling'!$D$23/2)^K657+L657*(TANH(((H657*'Externe blootstelling'!$D$23)/(2*M657))-2)-TANH(-2))/(1-TANH(-2))</f>
        <v>1.7801326854991661</v>
      </c>
      <c r="O657" s="83">
        <f>IF(N657=1,1+(I657-1)*H657*'Externe blootstelling'!$D$23/2,1+(I657-1)*(N657^(H657*'Externe blootstelling'!$D$23/2)-1)/(N657-1))</f>
        <v>4.4777090705841598</v>
      </c>
      <c r="P657" s="67">
        <f>G657*EXP(-H657*'Externe blootstelling'!$D$23/2)*O657</f>
        <v>4.0761665814834735E-6</v>
      </c>
      <c r="Q657" s="68"/>
    </row>
    <row r="658" spans="1:17" x14ac:dyDescent="0.2">
      <c r="A658" s="217"/>
      <c r="B658" s="64" t="s">
        <v>104</v>
      </c>
      <c r="C658" s="66">
        <v>0.3831</v>
      </c>
      <c r="D658" s="66">
        <f t="shared" si="43"/>
        <v>6.1296000000000002E-14</v>
      </c>
      <c r="E658" s="66">
        <v>4.4000000000000002E-6</v>
      </c>
      <c r="F658" s="66">
        <f>_xlfn.IFNA(INDEX('hp (pSv cm2)'!$B$2:$B$52,MATCH($C658,'hp (pSv cm2)'!$A$2:$A$52,1))+($C658-INDEX('hp (pSv cm2)'!$A$2:$A$52,MATCH($C658,'hp (pSv cm2)'!$A$2:$A$52,1)))*(INDEX('hp (pSv cm2)'!$B$2:$B$52,MATCH($C658,'hp (pSv cm2)'!$A$2:$A$52,1)+1)-INDEX('hp (pSv cm2)'!$B$2:$B$52,MATCH($C658,'hp (pSv cm2)'!$A$2:$A$52,1)))/(INDEX('hp (pSv cm2)'!$A$2:$A$52,MATCH($C658,'hp (pSv cm2)'!$A$2:$A$52,1)+1)-INDEX('hp (pSv cm2)'!$A$2:$A$52,MATCH($C658,'hp (pSv cm2)'!$A$2:$A$52,1))),$C658*'hp (pSv cm2)'!$B$2/'hp (pSv cm2)'!$A$2)</f>
        <v>1.9171899999999999</v>
      </c>
      <c r="G658" s="67">
        <f t="shared" si="45"/>
        <v>8.4356359999999995E-6</v>
      </c>
      <c r="H658" s="83">
        <f>_xlfn.IFNA(0.997*(INDEX('Mass attenuation coefficients'!$B$2:$B$37,MATCH($C658,'Mass attenuation coefficients'!$A$2:$A$37,1))+($C658-INDEX('Mass attenuation coefficients'!$A$2:$A$37,MATCH($C658,'Mass attenuation coefficients'!$A$2:$A$37,1)))*(INDEX('Mass attenuation coefficients'!$B$2:$B$37,MATCH($C658,'Mass attenuation coefficients'!$A$2:$A$37,1)+1)-INDEX('Mass attenuation coefficients'!$B$2:$B$37,MATCH($C658,'Mass attenuation coefficients'!$A$2:$A$37,1)))/(INDEX('Mass attenuation coefficients'!$A$2:$A$37,MATCH($C658,'Mass attenuation coefficients'!$A$2:$A$37,1)+1)-INDEX('Mass attenuation coefficients'!$A$2:$A$37,MATCH($C658,'Mass attenuation coefficients'!$A$2:$A$37,1)))),0.997*$C658*'Mass attenuation coefficients'!$B$2/'Mass attenuation coefficients'!$A$2)</f>
        <v>0.1078878625</v>
      </c>
      <c r="I658" s="83">
        <f>_xlfn.IFNA(INDEX('Shultis Faw'!$C$2:$C$26,MATCH($C658,'Shultis Faw'!$A$2:$A$26,1))+($C658-INDEX('Shultis Faw'!$A$2:$A$26,MATCH($C658,'Shultis Faw'!$A$2:$A$26,1)))*(INDEX('Shultis Faw'!$C$2:$C$26,MATCH($C658,'Shultis Faw'!$A$2:$A$26,1)+1)-INDEX('Shultis Faw'!$C$2:$C$26,MATCH($C658,'Shultis Faw'!$A$2:$A$26,1)))/(INDEX('Shultis Faw'!$A$2:$A$26,MATCH($C658,'Shultis Faw'!$A$2:$A$26,1)+1)-INDEX('Shultis Faw'!$A$2:$A$26,MATCH($C658,'Shultis Faw'!$A$2:$A$26,1))),$C658*'Shultis Faw'!$C$2/'Shultis Faw'!$A$2)</f>
        <v>2.7039400000000002</v>
      </c>
      <c r="J658" s="83">
        <f>_xlfn.IFNA(INDEX('Shultis Faw'!$D$2:$D$26,MATCH($C658,'Shultis Faw'!$A$2:$A$26,1))+($C658-INDEX('Shultis Faw'!$A$2:$A$26,MATCH($C658,'Shultis Faw'!$A$2:$A$26,1)))*(INDEX('Shultis Faw'!$D$2:$D$26,MATCH($C658,'Shultis Faw'!$A$2:$A$26,1)+1)-INDEX('Shultis Faw'!$D$2:$D$26,MATCH($C658,'Shultis Faw'!$A$2:$A$26,1)))/(INDEX('Shultis Faw'!$A$2:$A$26,MATCH($C658,'Shultis Faw'!$A$2:$A$26,1)+1)-INDEX('Shultis Faw'!$A$2:$A$26,MATCH($C658,'Shultis Faw'!$A$2:$A$26,1))),$C658*'Shultis Faw'!$D$2/'Shultis Faw'!$A$2)</f>
        <v>1.9056599999999999</v>
      </c>
      <c r="K658" s="83">
        <f>_xlfn.IFNA(INDEX('Shultis Faw'!$B$2:$B$26,MATCH($C658,'Shultis Faw'!$A$2:$A$26,1))+($C658-INDEX('Shultis Faw'!$A$2:$A$26,MATCH($C658,'Shultis Faw'!$A$2:$A$26,1)))*(INDEX('Shultis Faw'!$B$2:$B$26,MATCH($C658,'Shultis Faw'!$A$2:$A$26,1)+1)-INDEX('Shultis Faw'!$B$2:$B$26,MATCH($C658,'Shultis Faw'!$A$2:$A$26,1)))/(INDEX('Shultis Faw'!$A$2:$A$26,MATCH($C658,'Shultis Faw'!$A$2:$A$26,1)+1)-INDEX('Shultis Faw'!$A$2:$A$26,MATCH($C658,'Shultis Faw'!$A$2:$A$26,1))),$C658*'Shultis Faw'!$B$2/'Shultis Faw'!$A$2)</f>
        <v>-0.151535</v>
      </c>
      <c r="L658" s="83">
        <f>_xlfn.IFNA(INDEX('Shultis Faw'!$E$2:$E$26,MATCH($C658,'Shultis Faw'!$A$2:$A$26,1))+($C658-INDEX('Shultis Faw'!$A$2:$A$26,MATCH($C658,'Shultis Faw'!$A$2:$A$26,1)))*(INDEX('Shultis Faw'!$E$2:$E$26,MATCH($C658,'Shultis Faw'!$A$2:$A$26,1)+1)-INDEX('Shultis Faw'!$E$2:$E$26,MATCH($C658,'Shultis Faw'!$A$2:$A$26,1)))/(INDEX('Shultis Faw'!$A$2:$A$26,MATCH($C658,'Shultis Faw'!$A$2:$A$26,1)+1)-INDEX('Shultis Faw'!$A$2:$A$26,MATCH($C658,'Shultis Faw'!$A$2:$A$26,1))),$C658*'Shultis Faw'!$E$2/'Shultis Faw'!$A$2)</f>
        <v>6.0513999999999998E-2</v>
      </c>
      <c r="M658" s="83">
        <f>_xlfn.IFNA(INDEX('Shultis Faw'!$F$2:$F$26,MATCH($C658,'Shultis Faw'!$A$2:$A$26,1))+($C658-INDEX('Shultis Faw'!$A$2:$A$26,MATCH($C658,'Shultis Faw'!$A$2:$A$26,1)))*(INDEX('Shultis Faw'!$F$2:$F$26,MATCH($C658,'Shultis Faw'!$A$2:$A$26,1)+1)-INDEX('Shultis Faw'!$F$2:$F$26,MATCH($C658,'Shultis Faw'!$A$2:$A$26,1)))/(INDEX('Shultis Faw'!$A$2:$A$26,MATCH($C658,'Shultis Faw'!$A$2:$A$26,1)+1)-INDEX('Shultis Faw'!$A$2:$A$26,MATCH($C658,'Shultis Faw'!$A$2:$A$26,1))),$C658*'Shultis Faw'!$F$2/'Shultis Faw'!$A$2)</f>
        <v>14.23493</v>
      </c>
      <c r="N658" s="83">
        <f>J658*(H658*'Externe blootstelling'!$D$23/2)^K658+L658*(TANH(((H658*'Externe blootstelling'!$D$23)/(2*M658))-2)-TANH(-2))/(1-TANH(-2))</f>
        <v>1.771873567023825</v>
      </c>
      <c r="O658" s="83">
        <f>IF(N658=1,1+(I658-1)*H658*'Externe blootstelling'!$D$23/2,1+(I658-1)*(N658^(H658*'Externe blootstelling'!$D$23/2)-1)/(N658-1))</f>
        <v>4.3636946531081815</v>
      </c>
      <c r="P658" s="67">
        <f>G658*EXP(-H658*'Externe blootstelling'!$D$23/2)*O658</f>
        <v>7.2970216503392402E-6</v>
      </c>
      <c r="Q658" s="68"/>
    </row>
    <row r="659" spans="1:17" x14ac:dyDescent="0.2">
      <c r="A659" s="217"/>
      <c r="B659" s="64" t="s">
        <v>104</v>
      </c>
      <c r="C659" s="66">
        <v>0.40181</v>
      </c>
      <c r="D659" s="66">
        <f t="shared" si="43"/>
        <v>6.4289599999999993E-14</v>
      </c>
      <c r="E659" s="66">
        <v>6.7500000000000004E-2</v>
      </c>
      <c r="F659" s="66">
        <f>_xlfn.IFNA(INDEX('hp (pSv cm2)'!$B$2:$B$52,MATCH($C659,'hp (pSv cm2)'!$A$2:$A$52,1))+($C659-INDEX('hp (pSv cm2)'!$A$2:$A$52,MATCH($C659,'hp (pSv cm2)'!$A$2:$A$52,1)))*(INDEX('hp (pSv cm2)'!$B$2:$B$52,MATCH($C659,'hp (pSv cm2)'!$A$2:$A$52,1)+1)-INDEX('hp (pSv cm2)'!$B$2:$B$52,MATCH($C659,'hp (pSv cm2)'!$A$2:$A$52,1)))/(INDEX('hp (pSv cm2)'!$A$2:$A$52,MATCH($C659,'hp (pSv cm2)'!$A$2:$A$52,1)+1)-INDEX('hp (pSv cm2)'!$A$2:$A$52,MATCH($C659,'hp (pSv cm2)'!$A$2:$A$52,1))),$C659*'hp (pSv cm2)'!$B$2/'hp (pSv cm2)'!$A$2)</f>
        <v>2.0085069999999998</v>
      </c>
      <c r="G659" s="67">
        <f t="shared" si="45"/>
        <v>0.13557422250000001</v>
      </c>
      <c r="H659" s="83">
        <f>_xlfn.IFNA(0.997*(INDEX('Mass attenuation coefficients'!$B$2:$B$37,MATCH($C659,'Mass attenuation coefficients'!$A$2:$A$37,1))+($C659-INDEX('Mass attenuation coefficients'!$A$2:$A$37,MATCH($C659,'Mass attenuation coefficients'!$A$2:$A$37,1)))*(INDEX('Mass attenuation coefficients'!$B$2:$B$37,MATCH($C659,'Mass attenuation coefficients'!$A$2:$A$37,1)+1)-INDEX('Mass attenuation coefficients'!$B$2:$B$37,MATCH($C659,'Mass attenuation coefficients'!$A$2:$A$37,1)))/(INDEX('Mass attenuation coefficients'!$A$2:$A$37,MATCH($C659,'Mass attenuation coefficients'!$A$2:$A$37,1)+1)-INDEX('Mass attenuation coefficients'!$A$2:$A$37,MATCH($C659,'Mass attenuation coefficients'!$A$2:$A$37,1)))),0.997*$C659*'Mass attenuation coefficients'!$B$2/'Mass attenuation coefficients'!$A$2)</f>
        <v>0.10561513818900001</v>
      </c>
      <c r="I659" s="83">
        <f>_xlfn.IFNA(INDEX('Shultis Faw'!$C$2:$C$26,MATCH($C659,'Shultis Faw'!$A$2:$A$26,1))+($C659-INDEX('Shultis Faw'!$A$2:$A$26,MATCH($C659,'Shultis Faw'!$A$2:$A$26,1)))*(INDEX('Shultis Faw'!$C$2:$C$26,MATCH($C659,'Shultis Faw'!$A$2:$A$26,1)+1)-INDEX('Shultis Faw'!$C$2:$C$26,MATCH($C659,'Shultis Faw'!$A$2:$A$26,1)))/(INDEX('Shultis Faw'!$A$2:$A$26,MATCH($C659,'Shultis Faw'!$A$2:$A$26,1)+1)-INDEX('Shultis Faw'!$A$2:$A$26,MATCH($C659,'Shultis Faw'!$A$2:$A$26,1))),$C659*'Shultis Faw'!$C$2/'Shultis Faw'!$A$2)</f>
        <v>2.6571040000000004</v>
      </c>
      <c r="J659" s="83">
        <f>_xlfn.IFNA(INDEX('Shultis Faw'!$D$2:$D$26,MATCH($C659,'Shultis Faw'!$A$2:$A$26,1))+($C659-INDEX('Shultis Faw'!$A$2:$A$26,MATCH($C659,'Shultis Faw'!$A$2:$A$26,1)))*(INDEX('Shultis Faw'!$D$2:$D$26,MATCH($C659,'Shultis Faw'!$A$2:$A$26,1)+1)-INDEX('Shultis Faw'!$D$2:$D$26,MATCH($C659,'Shultis Faw'!$A$2:$A$26,1)))/(INDEX('Shultis Faw'!$A$2:$A$26,MATCH($C659,'Shultis Faw'!$A$2:$A$26,1)+1)-INDEX('Shultis Faw'!$A$2:$A$26,MATCH($C659,'Shultis Faw'!$A$2:$A$26,1))),$C659*'Shultis Faw'!$D$2/'Shultis Faw'!$A$2)</f>
        <v>1.8799003999999999</v>
      </c>
      <c r="K659" s="83">
        <f>_xlfn.IFNA(INDEX('Shultis Faw'!$B$2:$B$26,MATCH($C659,'Shultis Faw'!$A$2:$A$26,1))+($C659-INDEX('Shultis Faw'!$A$2:$A$26,MATCH($C659,'Shultis Faw'!$A$2:$A$26,1)))*(INDEX('Shultis Faw'!$B$2:$B$26,MATCH($C659,'Shultis Faw'!$A$2:$A$26,1)+1)-INDEX('Shultis Faw'!$B$2:$B$26,MATCH($C659,'Shultis Faw'!$A$2:$A$26,1)))/(INDEX('Shultis Faw'!$A$2:$A$26,MATCH($C659,'Shultis Faw'!$A$2:$A$26,1)+1)-INDEX('Shultis Faw'!$A$2:$A$26,MATCH($C659,'Shultis Faw'!$A$2:$A$26,1))),$C659*'Shultis Faw'!$B$2/'Shultis Faw'!$A$2)</f>
        <v>-0.14874660000000001</v>
      </c>
      <c r="L659" s="83">
        <f>_xlfn.IFNA(INDEX('Shultis Faw'!$E$2:$E$26,MATCH($C659,'Shultis Faw'!$A$2:$A$26,1))+($C659-INDEX('Shultis Faw'!$A$2:$A$26,MATCH($C659,'Shultis Faw'!$A$2:$A$26,1)))*(INDEX('Shultis Faw'!$E$2:$E$26,MATCH($C659,'Shultis Faw'!$A$2:$A$26,1)+1)-INDEX('Shultis Faw'!$E$2:$E$26,MATCH($C659,'Shultis Faw'!$A$2:$A$26,1)))/(INDEX('Shultis Faw'!$A$2:$A$26,MATCH($C659,'Shultis Faw'!$A$2:$A$26,1)+1)-INDEX('Shultis Faw'!$A$2:$A$26,MATCH($C659,'Shultis Faw'!$A$2:$A$26,1))),$C659*'Shultis Faw'!$E$2/'Shultis Faw'!$A$2)</f>
        <v>5.9411310000000002E-2</v>
      </c>
      <c r="M659" s="83">
        <f>_xlfn.IFNA(INDEX('Shultis Faw'!$F$2:$F$26,MATCH($C659,'Shultis Faw'!$A$2:$A$26,1))+($C659-INDEX('Shultis Faw'!$A$2:$A$26,MATCH($C659,'Shultis Faw'!$A$2:$A$26,1)))*(INDEX('Shultis Faw'!$F$2:$F$26,MATCH($C659,'Shultis Faw'!$A$2:$A$26,1)+1)-INDEX('Shultis Faw'!$F$2:$F$26,MATCH($C659,'Shultis Faw'!$A$2:$A$26,1)))/(INDEX('Shultis Faw'!$A$2:$A$26,MATCH($C659,'Shultis Faw'!$A$2:$A$26,1)+1)-INDEX('Shultis Faw'!$A$2:$A$26,MATCH($C659,'Shultis Faw'!$A$2:$A$26,1))),$C659*'Shultis Faw'!$F$2/'Shultis Faw'!$A$2)</f>
        <v>14.241629</v>
      </c>
      <c r="N659" s="83">
        <f>J659*(H659*'Externe blootstelling'!$D$23/2)^K659+L659*(TANH(((H659*'Externe blootstelling'!$D$23)/(2*M659))-2)-TANH(-2))/(1-TANH(-2))</f>
        <v>1.7558129424041622</v>
      </c>
      <c r="O659" s="83">
        <f>IF(N659=1,1+(I659-1)*H659*'Externe blootstelling'!$D$23/2,1+(I659-1)*(N659^(H659*'Externe blootstelling'!$D$23/2)-1)/(N659-1))</f>
        <v>4.1561749134875479</v>
      </c>
      <c r="P659" s="67">
        <f>G659*EXP(-H659*'Externe blootstelling'!$D$23/2)*O659</f>
        <v>0.11557126404064043</v>
      </c>
      <c r="Q659" s="68"/>
    </row>
    <row r="660" spans="1:17" x14ac:dyDescent="0.2">
      <c r="A660" s="217"/>
      <c r="B660" s="64" t="s">
        <v>104</v>
      </c>
      <c r="C660" s="66">
        <v>0.40539999999999998</v>
      </c>
      <c r="D660" s="66">
        <f t="shared" si="43"/>
        <v>6.4864E-14</v>
      </c>
      <c r="E660" s="66">
        <v>2.5000000000000002E-6</v>
      </c>
      <c r="F660" s="66">
        <f>_xlfn.IFNA(INDEX('hp (pSv cm2)'!$B$2:$B$52,MATCH($C660,'hp (pSv cm2)'!$A$2:$A$52,1))+($C660-INDEX('hp (pSv cm2)'!$A$2:$A$52,MATCH($C660,'hp (pSv cm2)'!$A$2:$A$52,1)))*(INDEX('hp (pSv cm2)'!$B$2:$B$52,MATCH($C660,'hp (pSv cm2)'!$A$2:$A$52,1)+1)-INDEX('hp (pSv cm2)'!$B$2:$B$52,MATCH($C660,'hp (pSv cm2)'!$A$2:$A$52,1)))/(INDEX('hp (pSv cm2)'!$A$2:$A$52,MATCH($C660,'hp (pSv cm2)'!$A$2:$A$52,1)+1)-INDEX('hp (pSv cm2)'!$A$2:$A$52,MATCH($C660,'hp (pSv cm2)'!$A$2:$A$52,1))),$C660*'hp (pSv cm2)'!$B$2/'hp (pSv cm2)'!$A$2)</f>
        <v>2.0253799999999997</v>
      </c>
      <c r="G660" s="67">
        <f t="shared" si="45"/>
        <v>5.0634499999999998E-6</v>
      </c>
      <c r="H660" s="83">
        <f>_xlfn.IFNA(0.997*(INDEX('Mass attenuation coefficients'!$B$2:$B$37,MATCH($C660,'Mass attenuation coefficients'!$A$2:$A$37,1))+($C660-INDEX('Mass attenuation coefficients'!$A$2:$A$37,MATCH($C660,'Mass attenuation coefficients'!$A$2:$A$37,1)))*(INDEX('Mass attenuation coefficients'!$B$2:$B$37,MATCH($C660,'Mass attenuation coefficients'!$A$2:$A$37,1)+1)-INDEX('Mass attenuation coefficients'!$B$2:$B$37,MATCH($C660,'Mass attenuation coefficients'!$A$2:$A$37,1)))/(INDEX('Mass attenuation coefficients'!$A$2:$A$37,MATCH($C660,'Mass attenuation coefficients'!$A$2:$A$37,1)+1)-INDEX('Mass attenuation coefficients'!$A$2:$A$37,MATCH($C660,'Mass attenuation coefficients'!$A$2:$A$37,1)))),0.997*$C660*'Mass attenuation coefficients'!$B$2/'Mass attenuation coefficients'!$A$2)</f>
        <v>0.10528477526</v>
      </c>
      <c r="I660" s="83">
        <f>_xlfn.IFNA(INDEX('Shultis Faw'!$C$2:$C$26,MATCH($C660,'Shultis Faw'!$A$2:$A$26,1))+($C660-INDEX('Shultis Faw'!$A$2:$A$26,MATCH($C660,'Shultis Faw'!$A$2:$A$26,1)))*(INDEX('Shultis Faw'!$C$2:$C$26,MATCH($C660,'Shultis Faw'!$A$2:$A$26,1)+1)-INDEX('Shultis Faw'!$C$2:$C$26,MATCH($C660,'Shultis Faw'!$A$2:$A$26,1)))/(INDEX('Shultis Faw'!$A$2:$A$26,MATCH($C660,'Shultis Faw'!$A$2:$A$26,1)+1)-INDEX('Shultis Faw'!$A$2:$A$26,MATCH($C660,'Shultis Faw'!$A$2:$A$26,1))),$C660*'Shultis Faw'!$C$2/'Shultis Faw'!$A$2)</f>
        <v>2.6513600000000004</v>
      </c>
      <c r="J660" s="83">
        <f>_xlfn.IFNA(INDEX('Shultis Faw'!$D$2:$D$26,MATCH($C660,'Shultis Faw'!$A$2:$A$26,1))+($C660-INDEX('Shultis Faw'!$A$2:$A$26,MATCH($C660,'Shultis Faw'!$A$2:$A$26,1)))*(INDEX('Shultis Faw'!$D$2:$D$26,MATCH($C660,'Shultis Faw'!$A$2:$A$26,1)+1)-INDEX('Shultis Faw'!$D$2:$D$26,MATCH($C660,'Shultis Faw'!$A$2:$A$26,1)))/(INDEX('Shultis Faw'!$A$2:$A$26,MATCH($C660,'Shultis Faw'!$A$2:$A$26,1)+1)-INDEX('Shultis Faw'!$A$2:$A$26,MATCH($C660,'Shultis Faw'!$A$2:$A$26,1))),$C660*'Shultis Faw'!$D$2/'Shultis Faw'!$A$2)</f>
        <v>1.8757359999999998</v>
      </c>
      <c r="K660" s="83">
        <f>_xlfn.IFNA(INDEX('Shultis Faw'!$B$2:$B$26,MATCH($C660,'Shultis Faw'!$A$2:$A$26,1))+($C660-INDEX('Shultis Faw'!$A$2:$A$26,MATCH($C660,'Shultis Faw'!$A$2:$A$26,1)))*(INDEX('Shultis Faw'!$B$2:$B$26,MATCH($C660,'Shultis Faw'!$A$2:$A$26,1)+1)-INDEX('Shultis Faw'!$B$2:$B$26,MATCH($C660,'Shultis Faw'!$A$2:$A$26,1)))/(INDEX('Shultis Faw'!$A$2:$A$26,MATCH($C660,'Shultis Faw'!$A$2:$A$26,1)+1)-INDEX('Shultis Faw'!$A$2:$A$26,MATCH($C660,'Shultis Faw'!$A$2:$A$26,1))),$C660*'Shultis Faw'!$B$2/'Shultis Faw'!$A$2)</f>
        <v>-0.14824399999999999</v>
      </c>
      <c r="L660" s="83">
        <f>_xlfn.IFNA(INDEX('Shultis Faw'!$E$2:$E$26,MATCH($C660,'Shultis Faw'!$A$2:$A$26,1))+($C660-INDEX('Shultis Faw'!$A$2:$A$26,MATCH($C660,'Shultis Faw'!$A$2:$A$26,1)))*(INDEX('Shultis Faw'!$E$2:$E$26,MATCH($C660,'Shultis Faw'!$A$2:$A$26,1)+1)-INDEX('Shultis Faw'!$E$2:$E$26,MATCH($C660,'Shultis Faw'!$A$2:$A$26,1)))/(INDEX('Shultis Faw'!$A$2:$A$26,MATCH($C660,'Shultis Faw'!$A$2:$A$26,1)+1)-INDEX('Shultis Faw'!$A$2:$A$26,MATCH($C660,'Shultis Faw'!$A$2:$A$26,1))),$C660*'Shultis Faw'!$E$2/'Shultis Faw'!$A$2)</f>
        <v>5.9235400000000001E-2</v>
      </c>
      <c r="M660" s="83">
        <f>_xlfn.IFNA(INDEX('Shultis Faw'!$F$2:$F$26,MATCH($C660,'Shultis Faw'!$A$2:$A$26,1))+($C660-INDEX('Shultis Faw'!$A$2:$A$26,MATCH($C660,'Shultis Faw'!$A$2:$A$26,1)))*(INDEX('Shultis Faw'!$F$2:$F$26,MATCH($C660,'Shultis Faw'!$A$2:$A$26,1)+1)-INDEX('Shultis Faw'!$F$2:$F$26,MATCH($C660,'Shultis Faw'!$A$2:$A$26,1)))/(INDEX('Shultis Faw'!$A$2:$A$26,MATCH($C660,'Shultis Faw'!$A$2:$A$26,1)+1)-INDEX('Shultis Faw'!$A$2:$A$26,MATCH($C660,'Shultis Faw'!$A$2:$A$26,1))),$C660*'Shultis Faw'!$F$2/'Shultis Faw'!$A$2)</f>
        <v>14.244860000000001</v>
      </c>
      <c r="N660" s="83">
        <f>J660*(H660*'Externe blootstelling'!$D$23/2)^K660+L660*(TANH(((H660*'Externe blootstelling'!$D$23)/(2*M660))-2)-TANH(-2))/(1-TANH(-2))</f>
        <v>1.7531412548141903</v>
      </c>
      <c r="O660" s="83">
        <f>IF(N660=1,1+(I660-1)*H660*'Externe blootstelling'!$D$23/2,1+(I660-1)*(N660^(H660*'Externe blootstelling'!$D$23/2)-1)/(N660-1))</f>
        <v>4.1286788112293245</v>
      </c>
      <c r="P660" s="67">
        <f>G660*EXP(-H660*'Externe blootstelling'!$D$23/2)*O660</f>
        <v>4.3091208130413911E-6</v>
      </c>
      <c r="Q660" s="68"/>
    </row>
    <row r="661" spans="1:17" x14ac:dyDescent="0.2">
      <c r="A661" s="217"/>
      <c r="B661" s="64" t="s">
        <v>104</v>
      </c>
      <c r="C661" s="66">
        <v>0.43689999999999996</v>
      </c>
      <c r="D661" s="66">
        <f t="shared" si="43"/>
        <v>6.9903999999999984E-14</v>
      </c>
      <c r="E661" s="66">
        <v>3.1E-6</v>
      </c>
      <c r="F661" s="66">
        <f>_xlfn.IFNA(INDEX('hp (pSv cm2)'!$B$2:$B$52,MATCH($C661,'hp (pSv cm2)'!$A$2:$A$52,1))+($C661-INDEX('hp (pSv cm2)'!$A$2:$A$52,MATCH($C661,'hp (pSv cm2)'!$A$2:$A$52,1)))*(INDEX('hp (pSv cm2)'!$B$2:$B$52,MATCH($C661,'hp (pSv cm2)'!$A$2:$A$52,1)+1)-INDEX('hp (pSv cm2)'!$B$2:$B$52,MATCH($C661,'hp (pSv cm2)'!$A$2:$A$52,1)))/(INDEX('hp (pSv cm2)'!$A$2:$A$52,MATCH($C661,'hp (pSv cm2)'!$A$2:$A$52,1)+1)-INDEX('hp (pSv cm2)'!$A$2:$A$52,MATCH($C661,'hp (pSv cm2)'!$A$2:$A$52,1))),$C661*'hp (pSv cm2)'!$B$2/'hp (pSv cm2)'!$A$2)</f>
        <v>2.1734299999999998</v>
      </c>
      <c r="G661" s="67">
        <f t="shared" si="45"/>
        <v>6.7376329999999991E-6</v>
      </c>
      <c r="H661" s="83">
        <f>_xlfn.IFNA(0.997*(INDEX('Mass attenuation coefficients'!$B$2:$B$37,MATCH($C661,'Mass attenuation coefficients'!$A$2:$A$37,1))+($C661-INDEX('Mass attenuation coefficients'!$A$2:$A$37,MATCH($C661,'Mass attenuation coefficients'!$A$2:$A$37,1)))*(INDEX('Mass attenuation coefficients'!$B$2:$B$37,MATCH($C661,'Mass attenuation coefficients'!$A$2:$A$37,1)+1)-INDEX('Mass attenuation coefficients'!$B$2:$B$37,MATCH($C661,'Mass attenuation coefficients'!$A$2:$A$37,1)))/(INDEX('Mass attenuation coefficients'!$A$2:$A$37,MATCH($C661,'Mass attenuation coefficients'!$A$2:$A$37,1)+1)-INDEX('Mass attenuation coefficients'!$A$2:$A$37,MATCH($C661,'Mass attenuation coefficients'!$A$2:$A$37,1)))),0.997*$C661*'Mass attenuation coefficients'!$B$2/'Mass attenuation coefficients'!$A$2)</f>
        <v>0.10238604761</v>
      </c>
      <c r="I661" s="83">
        <f>_xlfn.IFNA(INDEX('Shultis Faw'!$C$2:$C$26,MATCH($C661,'Shultis Faw'!$A$2:$A$26,1))+($C661-INDEX('Shultis Faw'!$A$2:$A$26,MATCH($C661,'Shultis Faw'!$A$2:$A$26,1)))*(INDEX('Shultis Faw'!$C$2:$C$26,MATCH($C661,'Shultis Faw'!$A$2:$A$26,1)+1)-INDEX('Shultis Faw'!$C$2:$C$26,MATCH($C661,'Shultis Faw'!$A$2:$A$26,1)))/(INDEX('Shultis Faw'!$A$2:$A$26,MATCH($C661,'Shultis Faw'!$A$2:$A$26,1)+1)-INDEX('Shultis Faw'!$A$2:$A$26,MATCH($C661,'Shultis Faw'!$A$2:$A$26,1))),$C661*'Shultis Faw'!$C$2/'Shultis Faw'!$A$2)</f>
        <v>2.6009600000000002</v>
      </c>
      <c r="J661" s="83">
        <f>_xlfn.IFNA(INDEX('Shultis Faw'!$D$2:$D$26,MATCH($C661,'Shultis Faw'!$A$2:$A$26,1))+($C661-INDEX('Shultis Faw'!$A$2:$A$26,MATCH($C661,'Shultis Faw'!$A$2:$A$26,1)))*(INDEX('Shultis Faw'!$D$2:$D$26,MATCH($C661,'Shultis Faw'!$A$2:$A$26,1)+1)-INDEX('Shultis Faw'!$D$2:$D$26,MATCH($C661,'Shultis Faw'!$A$2:$A$26,1)))/(INDEX('Shultis Faw'!$A$2:$A$26,MATCH($C661,'Shultis Faw'!$A$2:$A$26,1)+1)-INDEX('Shultis Faw'!$A$2:$A$26,MATCH($C661,'Shultis Faw'!$A$2:$A$26,1))),$C661*'Shultis Faw'!$D$2/'Shultis Faw'!$A$2)</f>
        <v>1.8391960000000001</v>
      </c>
      <c r="K661" s="83">
        <f>_xlfn.IFNA(INDEX('Shultis Faw'!$B$2:$B$26,MATCH($C661,'Shultis Faw'!$A$2:$A$26,1))+($C661-INDEX('Shultis Faw'!$A$2:$A$26,MATCH($C661,'Shultis Faw'!$A$2:$A$26,1)))*(INDEX('Shultis Faw'!$B$2:$B$26,MATCH($C661,'Shultis Faw'!$A$2:$A$26,1)+1)-INDEX('Shultis Faw'!$B$2:$B$26,MATCH($C661,'Shultis Faw'!$A$2:$A$26,1)))/(INDEX('Shultis Faw'!$A$2:$A$26,MATCH($C661,'Shultis Faw'!$A$2:$A$26,1)+1)-INDEX('Shultis Faw'!$A$2:$A$26,MATCH($C661,'Shultis Faw'!$A$2:$A$26,1))),$C661*'Shultis Faw'!$B$2/'Shultis Faw'!$A$2)</f>
        <v>-0.14383400000000002</v>
      </c>
      <c r="L661" s="83">
        <f>_xlfn.IFNA(INDEX('Shultis Faw'!$E$2:$E$26,MATCH($C661,'Shultis Faw'!$A$2:$A$26,1))+($C661-INDEX('Shultis Faw'!$A$2:$A$26,MATCH($C661,'Shultis Faw'!$A$2:$A$26,1)))*(INDEX('Shultis Faw'!$E$2:$E$26,MATCH($C661,'Shultis Faw'!$A$2:$A$26,1)+1)-INDEX('Shultis Faw'!$E$2:$E$26,MATCH($C661,'Shultis Faw'!$A$2:$A$26,1)))/(INDEX('Shultis Faw'!$A$2:$A$26,MATCH($C661,'Shultis Faw'!$A$2:$A$26,1)+1)-INDEX('Shultis Faw'!$A$2:$A$26,MATCH($C661,'Shultis Faw'!$A$2:$A$26,1))),$C661*'Shultis Faw'!$E$2/'Shultis Faw'!$A$2)</f>
        <v>5.7691900000000004E-2</v>
      </c>
      <c r="M661" s="83">
        <f>_xlfn.IFNA(INDEX('Shultis Faw'!$F$2:$F$26,MATCH($C661,'Shultis Faw'!$A$2:$A$26,1))+($C661-INDEX('Shultis Faw'!$A$2:$A$26,MATCH($C661,'Shultis Faw'!$A$2:$A$26,1)))*(INDEX('Shultis Faw'!$F$2:$F$26,MATCH($C661,'Shultis Faw'!$A$2:$A$26,1)+1)-INDEX('Shultis Faw'!$F$2:$F$26,MATCH($C661,'Shultis Faw'!$A$2:$A$26,1)))/(INDEX('Shultis Faw'!$A$2:$A$26,MATCH($C661,'Shultis Faw'!$A$2:$A$26,1)+1)-INDEX('Shultis Faw'!$A$2:$A$26,MATCH($C661,'Shultis Faw'!$A$2:$A$26,1))),$C661*'Shultis Faw'!$F$2/'Shultis Faw'!$A$2)</f>
        <v>14.273210000000001</v>
      </c>
      <c r="N661" s="83">
        <f>J661*(H661*'Externe blootstelling'!$D$23/2)^K661+L661*(TANH(((H661*'Externe blootstelling'!$D$23)/(2*M661))-2)-TANH(-2))/(1-TANH(-2))</f>
        <v>1.7293760318573694</v>
      </c>
      <c r="O661" s="83">
        <f>IF(N661=1,1+(I661-1)*H661*'Externe blootstelling'!$D$23/2,1+(I661-1)*(N661^(H661*'Externe blootstelling'!$D$23/2)-1)/(N661-1))</f>
        <v>3.8957264928224382</v>
      </c>
      <c r="P661" s="67">
        <f>G661*EXP(-H661*'Externe blootstelling'!$D$23/2)*O661</f>
        <v>5.6508057376163115E-6</v>
      </c>
      <c r="Q661" s="68"/>
    </row>
    <row r="662" spans="1:17" x14ac:dyDescent="0.2">
      <c r="A662" s="217"/>
      <c r="B662" s="64" t="s">
        <v>104</v>
      </c>
      <c r="C662" s="66">
        <v>0.46150000000000002</v>
      </c>
      <c r="D662" s="66">
        <f t="shared" si="43"/>
        <v>7.3839999999999991E-14</v>
      </c>
      <c r="E662" s="66">
        <v>1.7E-6</v>
      </c>
      <c r="F662" s="66">
        <f>_xlfn.IFNA(INDEX('hp (pSv cm2)'!$B$2:$B$52,MATCH($C662,'hp (pSv cm2)'!$A$2:$A$52,1))+($C662-INDEX('hp (pSv cm2)'!$A$2:$A$52,MATCH($C662,'hp (pSv cm2)'!$A$2:$A$52,1)))*(INDEX('hp (pSv cm2)'!$B$2:$B$52,MATCH($C662,'hp (pSv cm2)'!$A$2:$A$52,1)+1)-INDEX('hp (pSv cm2)'!$B$2:$B$52,MATCH($C662,'hp (pSv cm2)'!$A$2:$A$52,1)))/(INDEX('hp (pSv cm2)'!$A$2:$A$52,MATCH($C662,'hp (pSv cm2)'!$A$2:$A$52,1)+1)-INDEX('hp (pSv cm2)'!$A$2:$A$52,MATCH($C662,'hp (pSv cm2)'!$A$2:$A$52,1))),$C662*'hp (pSv cm2)'!$B$2/'hp (pSv cm2)'!$A$2)</f>
        <v>2.28905</v>
      </c>
      <c r="G662" s="67">
        <f t="shared" si="45"/>
        <v>3.8913850000000004E-6</v>
      </c>
      <c r="H662" s="83">
        <f>_xlfn.IFNA(0.997*(INDEX('Mass attenuation coefficients'!$B$2:$B$37,MATCH($C662,'Mass attenuation coefficients'!$A$2:$A$37,1))+($C662-INDEX('Mass attenuation coefficients'!$A$2:$A$37,MATCH($C662,'Mass attenuation coefficients'!$A$2:$A$37,1)))*(INDEX('Mass attenuation coefficients'!$B$2:$B$37,MATCH($C662,'Mass attenuation coefficients'!$A$2:$A$37,1)+1)-INDEX('Mass attenuation coefficients'!$B$2:$B$37,MATCH($C662,'Mass attenuation coefficients'!$A$2:$A$37,1)))/(INDEX('Mass attenuation coefficients'!$A$2:$A$37,MATCH($C662,'Mass attenuation coefficients'!$A$2:$A$37,1)+1)-INDEX('Mass attenuation coefficients'!$A$2:$A$37,MATCH($C662,'Mass attenuation coefficients'!$A$2:$A$37,1)))),0.997*$C662*'Mass attenuation coefficients'!$B$2/'Mass attenuation coefficients'!$A$2)</f>
        <v>0.10012227935</v>
      </c>
      <c r="I662" s="83">
        <f>_xlfn.IFNA(INDEX('Shultis Faw'!$C$2:$C$26,MATCH($C662,'Shultis Faw'!$A$2:$A$26,1))+($C662-INDEX('Shultis Faw'!$A$2:$A$26,MATCH($C662,'Shultis Faw'!$A$2:$A$26,1)))*(INDEX('Shultis Faw'!$C$2:$C$26,MATCH($C662,'Shultis Faw'!$A$2:$A$26,1)+1)-INDEX('Shultis Faw'!$C$2:$C$26,MATCH($C662,'Shultis Faw'!$A$2:$A$26,1)))/(INDEX('Shultis Faw'!$A$2:$A$26,MATCH($C662,'Shultis Faw'!$A$2:$A$26,1)+1)-INDEX('Shultis Faw'!$A$2:$A$26,MATCH($C662,'Shultis Faw'!$A$2:$A$26,1))),$C662*'Shultis Faw'!$C$2/'Shultis Faw'!$A$2)</f>
        <v>2.5615999999999999</v>
      </c>
      <c r="J662" s="83">
        <f>_xlfn.IFNA(INDEX('Shultis Faw'!$D$2:$D$26,MATCH($C662,'Shultis Faw'!$A$2:$A$26,1))+($C662-INDEX('Shultis Faw'!$A$2:$A$26,MATCH($C662,'Shultis Faw'!$A$2:$A$26,1)))*(INDEX('Shultis Faw'!$D$2:$D$26,MATCH($C662,'Shultis Faw'!$A$2:$A$26,1)+1)-INDEX('Shultis Faw'!$D$2:$D$26,MATCH($C662,'Shultis Faw'!$A$2:$A$26,1)))/(INDEX('Shultis Faw'!$A$2:$A$26,MATCH($C662,'Shultis Faw'!$A$2:$A$26,1)+1)-INDEX('Shultis Faw'!$A$2:$A$26,MATCH($C662,'Shultis Faw'!$A$2:$A$26,1))),$C662*'Shultis Faw'!$D$2/'Shultis Faw'!$A$2)</f>
        <v>1.8106599999999999</v>
      </c>
      <c r="K662" s="83">
        <f>_xlfn.IFNA(INDEX('Shultis Faw'!$B$2:$B$26,MATCH($C662,'Shultis Faw'!$A$2:$A$26,1))+($C662-INDEX('Shultis Faw'!$A$2:$A$26,MATCH($C662,'Shultis Faw'!$A$2:$A$26,1)))*(INDEX('Shultis Faw'!$B$2:$B$26,MATCH($C662,'Shultis Faw'!$A$2:$A$26,1)+1)-INDEX('Shultis Faw'!$B$2:$B$26,MATCH($C662,'Shultis Faw'!$A$2:$A$26,1)))/(INDEX('Shultis Faw'!$A$2:$A$26,MATCH($C662,'Shultis Faw'!$A$2:$A$26,1)+1)-INDEX('Shultis Faw'!$A$2:$A$26,MATCH($C662,'Shultis Faw'!$A$2:$A$26,1))),$C662*'Shultis Faw'!$B$2/'Shultis Faw'!$A$2)</f>
        <v>-0.14039000000000001</v>
      </c>
      <c r="L662" s="83">
        <f>_xlfn.IFNA(INDEX('Shultis Faw'!$E$2:$E$26,MATCH($C662,'Shultis Faw'!$A$2:$A$26,1))+($C662-INDEX('Shultis Faw'!$A$2:$A$26,MATCH($C662,'Shultis Faw'!$A$2:$A$26,1)))*(INDEX('Shultis Faw'!$E$2:$E$26,MATCH($C662,'Shultis Faw'!$A$2:$A$26,1)+1)-INDEX('Shultis Faw'!$E$2:$E$26,MATCH($C662,'Shultis Faw'!$A$2:$A$26,1)))/(INDEX('Shultis Faw'!$A$2:$A$26,MATCH($C662,'Shultis Faw'!$A$2:$A$26,1)+1)-INDEX('Shultis Faw'!$A$2:$A$26,MATCH($C662,'Shultis Faw'!$A$2:$A$26,1))),$C662*'Shultis Faw'!$E$2/'Shultis Faw'!$A$2)</f>
        <v>5.6486500000000002E-2</v>
      </c>
      <c r="M662" s="83">
        <f>_xlfn.IFNA(INDEX('Shultis Faw'!$F$2:$F$26,MATCH($C662,'Shultis Faw'!$A$2:$A$26,1))+($C662-INDEX('Shultis Faw'!$A$2:$A$26,MATCH($C662,'Shultis Faw'!$A$2:$A$26,1)))*(INDEX('Shultis Faw'!$F$2:$F$26,MATCH($C662,'Shultis Faw'!$A$2:$A$26,1)+1)-INDEX('Shultis Faw'!$F$2:$F$26,MATCH($C662,'Shultis Faw'!$A$2:$A$26,1)))/(INDEX('Shultis Faw'!$A$2:$A$26,MATCH($C662,'Shultis Faw'!$A$2:$A$26,1)+1)-INDEX('Shultis Faw'!$A$2:$A$26,MATCH($C662,'Shultis Faw'!$A$2:$A$26,1))),$C662*'Shultis Faw'!$F$2/'Shultis Faw'!$A$2)</f>
        <v>14.295350000000001</v>
      </c>
      <c r="N662" s="83">
        <f>J662*(H662*'Externe blootstelling'!$D$23/2)^K662+L662*(TANH(((H662*'Externe blootstelling'!$D$23)/(2*M662))-2)-TANH(-2))/(1-TANH(-2))</f>
        <v>1.7104131098797259</v>
      </c>
      <c r="O662" s="83">
        <f>IF(N662=1,1+(I662-1)*H662*'Externe blootstelling'!$D$23/2,1+(I662-1)*(N662^(H662*'Externe blootstelling'!$D$23/2)-1)/(N662-1))</f>
        <v>3.7238004368604725</v>
      </c>
      <c r="P662" s="67">
        <f>G662*EXP(-H662*'Externe blootstelling'!$D$23/2)*O662</f>
        <v>3.2273963053208208E-6</v>
      </c>
      <c r="Q662" s="68"/>
    </row>
    <row r="663" spans="1:17" x14ac:dyDescent="0.2">
      <c r="A663" s="217"/>
      <c r="B663" s="64" t="s">
        <v>104</v>
      </c>
      <c r="C663" s="66">
        <v>0.48930000000000001</v>
      </c>
      <c r="D663" s="66">
        <f t="shared" si="43"/>
        <v>7.8287999999999994E-14</v>
      </c>
      <c r="E663" s="66">
        <v>6.4000000000000006E-6</v>
      </c>
      <c r="F663" s="66">
        <f>_xlfn.IFNA(INDEX('hp (pSv cm2)'!$B$2:$B$52,MATCH($C663,'hp (pSv cm2)'!$A$2:$A$52,1))+($C663-INDEX('hp (pSv cm2)'!$A$2:$A$52,MATCH($C663,'hp (pSv cm2)'!$A$2:$A$52,1)))*(INDEX('hp (pSv cm2)'!$B$2:$B$52,MATCH($C663,'hp (pSv cm2)'!$A$2:$A$52,1)+1)-INDEX('hp (pSv cm2)'!$B$2:$B$52,MATCH($C663,'hp (pSv cm2)'!$A$2:$A$52,1)))/(INDEX('hp (pSv cm2)'!$A$2:$A$52,MATCH($C663,'hp (pSv cm2)'!$A$2:$A$52,1)+1)-INDEX('hp (pSv cm2)'!$A$2:$A$52,MATCH($C663,'hp (pSv cm2)'!$A$2:$A$52,1))),$C663*'hp (pSv cm2)'!$B$2/'hp (pSv cm2)'!$A$2)</f>
        <v>2.4197100000000002</v>
      </c>
      <c r="G663" s="67">
        <f t="shared" si="45"/>
        <v>1.5486144000000004E-5</v>
      </c>
      <c r="H663" s="83">
        <f>_xlfn.IFNA(0.997*(INDEX('Mass attenuation coefficients'!$B$2:$B$37,MATCH($C663,'Mass attenuation coefficients'!$A$2:$A$37,1))+($C663-INDEX('Mass attenuation coefficients'!$A$2:$A$37,MATCH($C663,'Mass attenuation coefficients'!$A$2:$A$37,1)))*(INDEX('Mass attenuation coefficients'!$B$2:$B$37,MATCH($C663,'Mass attenuation coefficients'!$A$2:$A$37,1)+1)-INDEX('Mass attenuation coefficients'!$B$2:$B$37,MATCH($C663,'Mass attenuation coefficients'!$A$2:$A$37,1)))/(INDEX('Mass attenuation coefficients'!$A$2:$A$37,MATCH($C663,'Mass attenuation coefficients'!$A$2:$A$37,1)+1)-INDEX('Mass attenuation coefficients'!$A$2:$A$37,MATCH($C663,'Mass attenuation coefficients'!$A$2:$A$37,1)))),0.997*$C663*'Mass attenuation coefficients'!$B$2/'Mass attenuation coefficients'!$A$2)</f>
        <v>9.7564037169999993E-2</v>
      </c>
      <c r="I663" s="83">
        <f>_xlfn.IFNA(INDEX('Shultis Faw'!$C$2:$C$26,MATCH($C663,'Shultis Faw'!$A$2:$A$26,1))+($C663-INDEX('Shultis Faw'!$A$2:$A$26,MATCH($C663,'Shultis Faw'!$A$2:$A$26,1)))*(INDEX('Shultis Faw'!$C$2:$C$26,MATCH($C663,'Shultis Faw'!$A$2:$A$26,1)+1)-INDEX('Shultis Faw'!$C$2:$C$26,MATCH($C663,'Shultis Faw'!$A$2:$A$26,1)))/(INDEX('Shultis Faw'!$A$2:$A$26,MATCH($C663,'Shultis Faw'!$A$2:$A$26,1)+1)-INDEX('Shultis Faw'!$A$2:$A$26,MATCH($C663,'Shultis Faw'!$A$2:$A$26,1))),$C663*'Shultis Faw'!$C$2/'Shultis Faw'!$A$2)</f>
        <v>2.5171199999999998</v>
      </c>
      <c r="J663" s="83">
        <f>_xlfn.IFNA(INDEX('Shultis Faw'!$D$2:$D$26,MATCH($C663,'Shultis Faw'!$A$2:$A$26,1))+($C663-INDEX('Shultis Faw'!$A$2:$A$26,MATCH($C663,'Shultis Faw'!$A$2:$A$26,1)))*(INDEX('Shultis Faw'!$D$2:$D$26,MATCH($C663,'Shultis Faw'!$A$2:$A$26,1)+1)-INDEX('Shultis Faw'!$D$2:$D$26,MATCH($C663,'Shultis Faw'!$A$2:$A$26,1)))/(INDEX('Shultis Faw'!$A$2:$A$26,MATCH($C663,'Shultis Faw'!$A$2:$A$26,1)+1)-INDEX('Shultis Faw'!$A$2:$A$26,MATCH($C663,'Shultis Faw'!$A$2:$A$26,1))),$C663*'Shultis Faw'!$D$2/'Shultis Faw'!$A$2)</f>
        <v>1.7784119999999999</v>
      </c>
      <c r="K663" s="83">
        <f>_xlfn.IFNA(INDEX('Shultis Faw'!$B$2:$B$26,MATCH($C663,'Shultis Faw'!$A$2:$A$26,1))+($C663-INDEX('Shultis Faw'!$A$2:$A$26,MATCH($C663,'Shultis Faw'!$A$2:$A$26,1)))*(INDEX('Shultis Faw'!$B$2:$B$26,MATCH($C663,'Shultis Faw'!$A$2:$A$26,1)+1)-INDEX('Shultis Faw'!$B$2:$B$26,MATCH($C663,'Shultis Faw'!$A$2:$A$26,1)))/(INDEX('Shultis Faw'!$A$2:$A$26,MATCH($C663,'Shultis Faw'!$A$2:$A$26,1)+1)-INDEX('Shultis Faw'!$A$2:$A$26,MATCH($C663,'Shultis Faw'!$A$2:$A$26,1))),$C663*'Shultis Faw'!$B$2/'Shultis Faw'!$A$2)</f>
        <v>-0.13649800000000001</v>
      </c>
      <c r="L663" s="83">
        <f>_xlfn.IFNA(INDEX('Shultis Faw'!$E$2:$E$26,MATCH($C663,'Shultis Faw'!$A$2:$A$26,1))+($C663-INDEX('Shultis Faw'!$A$2:$A$26,MATCH($C663,'Shultis Faw'!$A$2:$A$26,1)))*(INDEX('Shultis Faw'!$E$2:$E$26,MATCH($C663,'Shultis Faw'!$A$2:$A$26,1)+1)-INDEX('Shultis Faw'!$E$2:$E$26,MATCH($C663,'Shultis Faw'!$A$2:$A$26,1)))/(INDEX('Shultis Faw'!$A$2:$A$26,MATCH($C663,'Shultis Faw'!$A$2:$A$26,1)+1)-INDEX('Shultis Faw'!$A$2:$A$26,MATCH($C663,'Shultis Faw'!$A$2:$A$26,1))),$C663*'Shultis Faw'!$E$2/'Shultis Faw'!$A$2)</f>
        <v>5.5124300000000001E-2</v>
      </c>
      <c r="M663" s="83">
        <f>_xlfn.IFNA(INDEX('Shultis Faw'!$F$2:$F$26,MATCH($C663,'Shultis Faw'!$A$2:$A$26,1))+($C663-INDEX('Shultis Faw'!$A$2:$A$26,MATCH($C663,'Shultis Faw'!$A$2:$A$26,1)))*(INDEX('Shultis Faw'!$F$2:$F$26,MATCH($C663,'Shultis Faw'!$A$2:$A$26,1)+1)-INDEX('Shultis Faw'!$F$2:$F$26,MATCH($C663,'Shultis Faw'!$A$2:$A$26,1)))/(INDEX('Shultis Faw'!$A$2:$A$26,MATCH($C663,'Shultis Faw'!$A$2:$A$26,1)+1)-INDEX('Shultis Faw'!$A$2:$A$26,MATCH($C663,'Shultis Faw'!$A$2:$A$26,1))),$C663*'Shultis Faw'!$F$2/'Shultis Faw'!$A$2)</f>
        <v>14.32037</v>
      </c>
      <c r="N663" s="83">
        <f>J663*(H663*'Externe blootstelling'!$D$23/2)^K663+L663*(TANH(((H663*'Externe blootstelling'!$D$23)/(2*M663))-2)-TANH(-2))/(1-TANH(-2))</f>
        <v>1.6885572870254115</v>
      </c>
      <c r="O663" s="83">
        <f>IF(N663=1,1+(I663-1)*H663*'Externe blootstelling'!$D$23/2,1+(I663-1)*(N663^(H663*'Externe blootstelling'!$D$23/2)-1)/(N663-1))</f>
        <v>3.5395278752744979</v>
      </c>
      <c r="P663" s="67">
        <f>G663*EXP(-H663*'Externe blootstelling'!$D$23/2)*O663</f>
        <v>1.2685739401356396E-5</v>
      </c>
      <c r="Q663" s="68"/>
    </row>
    <row r="664" spans="1:17" x14ac:dyDescent="0.2">
      <c r="A664" s="217"/>
      <c r="B664" s="64" t="s">
        <v>104</v>
      </c>
      <c r="C664" s="66">
        <v>0.51760000000000006</v>
      </c>
      <c r="D664" s="66">
        <f t="shared" si="43"/>
        <v>8.2816000000000008E-14</v>
      </c>
      <c r="E664" s="66">
        <v>4.2999999999999999E-4</v>
      </c>
      <c r="F664" s="66">
        <f>_xlfn.IFNA(INDEX('hp (pSv cm2)'!$B$2:$B$52,MATCH($C664,'hp (pSv cm2)'!$A$2:$A$52,1))+($C664-INDEX('hp (pSv cm2)'!$A$2:$A$52,MATCH($C664,'hp (pSv cm2)'!$A$2:$A$52,1)))*(INDEX('hp (pSv cm2)'!$B$2:$B$52,MATCH($C664,'hp (pSv cm2)'!$A$2:$A$52,1)+1)-INDEX('hp (pSv cm2)'!$B$2:$B$52,MATCH($C664,'hp (pSv cm2)'!$A$2:$A$52,1)))/(INDEX('hp (pSv cm2)'!$A$2:$A$52,MATCH($C664,'hp (pSv cm2)'!$A$2:$A$52,1)+1)-INDEX('hp (pSv cm2)'!$A$2:$A$52,MATCH($C664,'hp (pSv cm2)'!$A$2:$A$52,1))),$C664*'hp (pSv cm2)'!$B$2/'hp (pSv cm2)'!$A$2)</f>
        <v>2.5474400000000004</v>
      </c>
      <c r="G664" s="67">
        <f t="shared" si="45"/>
        <v>1.0953992000000002E-3</v>
      </c>
      <c r="H664" s="83">
        <f>_xlfn.IFNA(0.997*(INDEX('Mass attenuation coefficients'!$B$2:$B$37,MATCH($C664,'Mass attenuation coefficients'!$A$2:$A$37,1))+($C664-INDEX('Mass attenuation coefficients'!$A$2:$A$37,MATCH($C664,'Mass attenuation coefficients'!$A$2:$A$37,1)))*(INDEX('Mass attenuation coefficients'!$B$2:$B$37,MATCH($C664,'Mass attenuation coefficients'!$A$2:$A$37,1)+1)-INDEX('Mass attenuation coefficients'!$B$2:$B$37,MATCH($C664,'Mass attenuation coefficients'!$A$2:$A$37,1)))/(INDEX('Mass attenuation coefficients'!$A$2:$A$37,MATCH($C664,'Mass attenuation coefficients'!$A$2:$A$37,1)+1)-INDEX('Mass attenuation coefficients'!$A$2:$A$37,MATCH($C664,'Mass attenuation coefficients'!$A$2:$A$37,1)))),0.997*$C664*'Mass attenuation coefficients'!$B$2/'Mass attenuation coefficients'!$A$2)</f>
        <v>9.5296689679999991E-2</v>
      </c>
      <c r="I664" s="83">
        <f>_xlfn.IFNA(INDEX('Shultis Faw'!$C$2:$C$26,MATCH($C664,'Shultis Faw'!$A$2:$A$26,1))+($C664-INDEX('Shultis Faw'!$A$2:$A$26,MATCH($C664,'Shultis Faw'!$A$2:$A$26,1)))*(INDEX('Shultis Faw'!$C$2:$C$26,MATCH($C664,'Shultis Faw'!$A$2:$A$26,1)+1)-INDEX('Shultis Faw'!$C$2:$C$26,MATCH($C664,'Shultis Faw'!$A$2:$A$26,1)))/(INDEX('Shultis Faw'!$A$2:$A$26,MATCH($C664,'Shultis Faw'!$A$2:$A$26,1)+1)-INDEX('Shultis Faw'!$A$2:$A$26,MATCH($C664,'Shultis Faw'!$A$2:$A$26,1))),$C664*'Shultis Faw'!$C$2/'Shultis Faw'!$A$2)</f>
        <v>2.4783519999999997</v>
      </c>
      <c r="J664" s="83">
        <f>_xlfn.IFNA(INDEX('Shultis Faw'!$D$2:$D$26,MATCH($C664,'Shultis Faw'!$A$2:$A$26,1))+($C664-INDEX('Shultis Faw'!$A$2:$A$26,MATCH($C664,'Shultis Faw'!$A$2:$A$26,1)))*(INDEX('Shultis Faw'!$D$2:$D$26,MATCH($C664,'Shultis Faw'!$A$2:$A$26,1)+1)-INDEX('Shultis Faw'!$D$2:$D$26,MATCH($C664,'Shultis Faw'!$A$2:$A$26,1)))/(INDEX('Shultis Faw'!$A$2:$A$26,MATCH($C664,'Shultis Faw'!$A$2:$A$26,1)+1)-INDEX('Shultis Faw'!$A$2:$A$26,MATCH($C664,'Shultis Faw'!$A$2:$A$26,1))),$C664*'Shultis Faw'!$D$2/'Shultis Faw'!$A$2)</f>
        <v>1.750688</v>
      </c>
      <c r="K664" s="83">
        <f>_xlfn.IFNA(INDEX('Shultis Faw'!$B$2:$B$26,MATCH($C664,'Shultis Faw'!$A$2:$A$26,1))+($C664-INDEX('Shultis Faw'!$A$2:$A$26,MATCH($C664,'Shultis Faw'!$A$2:$A$26,1)))*(INDEX('Shultis Faw'!$B$2:$B$26,MATCH($C664,'Shultis Faw'!$A$2:$A$26,1)+1)-INDEX('Shultis Faw'!$B$2:$B$26,MATCH($C664,'Shultis Faw'!$A$2:$A$26,1)))/(INDEX('Shultis Faw'!$A$2:$A$26,MATCH($C664,'Shultis Faw'!$A$2:$A$26,1)+1)-INDEX('Shultis Faw'!$A$2:$A$26,MATCH($C664,'Shultis Faw'!$A$2:$A$26,1))),$C664*'Shultis Faw'!$B$2/'Shultis Faw'!$A$2)</f>
        <v>-0.13306399999999999</v>
      </c>
      <c r="L664" s="83">
        <f>_xlfn.IFNA(INDEX('Shultis Faw'!$E$2:$E$26,MATCH($C664,'Shultis Faw'!$A$2:$A$26,1))+($C664-INDEX('Shultis Faw'!$A$2:$A$26,MATCH($C664,'Shultis Faw'!$A$2:$A$26,1)))*(INDEX('Shultis Faw'!$E$2:$E$26,MATCH($C664,'Shultis Faw'!$A$2:$A$26,1)+1)-INDEX('Shultis Faw'!$E$2:$E$26,MATCH($C664,'Shultis Faw'!$A$2:$A$26,1)))/(INDEX('Shultis Faw'!$A$2:$A$26,MATCH($C664,'Shultis Faw'!$A$2:$A$26,1)+1)-INDEX('Shultis Faw'!$A$2:$A$26,MATCH($C664,'Shultis Faw'!$A$2:$A$26,1))),$C664*'Shultis Faw'!$E$2/'Shultis Faw'!$A$2)</f>
        <v>5.3843200000000001E-2</v>
      </c>
      <c r="M664" s="83">
        <f>_xlfn.IFNA(INDEX('Shultis Faw'!$F$2:$F$26,MATCH($C664,'Shultis Faw'!$A$2:$A$26,1))+($C664-INDEX('Shultis Faw'!$A$2:$A$26,MATCH($C664,'Shultis Faw'!$A$2:$A$26,1)))*(INDEX('Shultis Faw'!$F$2:$F$26,MATCH($C664,'Shultis Faw'!$A$2:$A$26,1)+1)-INDEX('Shultis Faw'!$F$2:$F$26,MATCH($C664,'Shultis Faw'!$A$2:$A$26,1)))/(INDEX('Shultis Faw'!$A$2:$A$26,MATCH($C664,'Shultis Faw'!$A$2:$A$26,1)+1)-INDEX('Shultis Faw'!$A$2:$A$26,MATCH($C664,'Shultis Faw'!$A$2:$A$26,1))),$C664*'Shultis Faw'!$F$2/'Shultis Faw'!$A$2)</f>
        <v>14.3124</v>
      </c>
      <c r="N664" s="83">
        <f>J664*(H664*'Externe blootstelling'!$D$23/2)^K664+L664*(TANH(((H664*'Externe blootstelling'!$D$23)/(2*M664))-2)-TANH(-2))/(1-TANH(-2))</f>
        <v>1.6696168378547849</v>
      </c>
      <c r="O664" s="83">
        <f>IF(N664=1,1+(I664-1)*H664*'Externe blootstelling'!$D$23/2,1+(I664-1)*(N664^(H664*'Externe blootstelling'!$D$23/2)-1)/(N664-1))</f>
        <v>3.3860322538513237</v>
      </c>
      <c r="P664" s="67">
        <f>G664*EXP(-H664*'Externe blootstelling'!$D$23/2)*O664</f>
        <v>8.8809845193094875E-4</v>
      </c>
      <c r="Q664" s="68"/>
    </row>
    <row r="665" spans="1:17" x14ac:dyDescent="0.2">
      <c r="A665" s="217"/>
      <c r="B665" s="64" t="s">
        <v>104</v>
      </c>
      <c r="C665" s="66">
        <v>0.55610000000000004</v>
      </c>
      <c r="D665" s="66">
        <f t="shared" si="43"/>
        <v>8.8975999999999991E-14</v>
      </c>
      <c r="E665" s="66">
        <v>5.9999999999999997E-7</v>
      </c>
      <c r="F665" s="66">
        <f>_xlfn.IFNA(INDEX('hp (pSv cm2)'!$B$2:$B$52,MATCH($C665,'hp (pSv cm2)'!$A$2:$A$52,1))+($C665-INDEX('hp (pSv cm2)'!$A$2:$A$52,MATCH($C665,'hp (pSv cm2)'!$A$2:$A$52,1)))*(INDEX('hp (pSv cm2)'!$B$2:$B$52,MATCH($C665,'hp (pSv cm2)'!$A$2:$A$52,1)+1)-INDEX('hp (pSv cm2)'!$B$2:$B$52,MATCH($C665,'hp (pSv cm2)'!$A$2:$A$52,1)))/(INDEX('hp (pSv cm2)'!$A$2:$A$52,MATCH($C665,'hp (pSv cm2)'!$A$2:$A$52,1)+1)-INDEX('hp (pSv cm2)'!$A$2:$A$52,MATCH($C665,'hp (pSv cm2)'!$A$2:$A$52,1))),$C665*'hp (pSv cm2)'!$B$2/'hp (pSv cm2)'!$A$2)</f>
        <v>2.7168400000000004</v>
      </c>
      <c r="G665" s="67">
        <f t="shared" si="45"/>
        <v>1.6301040000000002E-6</v>
      </c>
      <c r="H665" s="83">
        <f>_xlfn.IFNA(0.997*(INDEX('Mass attenuation coefficients'!$B$2:$B$37,MATCH($C665,'Mass attenuation coefficients'!$A$2:$A$37,1))+($C665-INDEX('Mass attenuation coefficients'!$A$2:$A$37,MATCH($C665,'Mass attenuation coefficients'!$A$2:$A$37,1)))*(INDEX('Mass attenuation coefficients'!$B$2:$B$37,MATCH($C665,'Mass attenuation coefficients'!$A$2:$A$37,1)+1)-INDEX('Mass attenuation coefficients'!$B$2:$B$37,MATCH($C665,'Mass attenuation coefficients'!$A$2:$A$37,1)))/(INDEX('Mass attenuation coefficients'!$A$2:$A$37,MATCH($C665,'Mass attenuation coefficients'!$A$2:$A$37,1)+1)-INDEX('Mass attenuation coefficients'!$A$2:$A$37,MATCH($C665,'Mass attenuation coefficients'!$A$2:$A$37,1)))),0.997*$C665*'Mass attenuation coefficients'!$B$2/'Mass attenuation coefficients'!$A$2)</f>
        <v>9.2490782729999999E-2</v>
      </c>
      <c r="I665" s="83">
        <f>_xlfn.IFNA(INDEX('Shultis Faw'!$C$2:$C$26,MATCH($C665,'Shultis Faw'!$A$2:$A$26,1))+($C665-INDEX('Shultis Faw'!$A$2:$A$26,MATCH($C665,'Shultis Faw'!$A$2:$A$26,1)))*(INDEX('Shultis Faw'!$C$2:$C$26,MATCH($C665,'Shultis Faw'!$A$2:$A$26,1)+1)-INDEX('Shultis Faw'!$C$2:$C$26,MATCH($C665,'Shultis Faw'!$A$2:$A$26,1)))/(INDEX('Shultis Faw'!$A$2:$A$26,MATCH($C665,'Shultis Faw'!$A$2:$A$26,1)+1)-INDEX('Shultis Faw'!$A$2:$A$26,MATCH($C665,'Shultis Faw'!$A$2:$A$26,1))),$C665*'Shultis Faw'!$C$2/'Shultis Faw'!$A$2)</f>
        <v>2.4309969999999996</v>
      </c>
      <c r="J665" s="83">
        <f>_xlfn.IFNA(INDEX('Shultis Faw'!$D$2:$D$26,MATCH($C665,'Shultis Faw'!$A$2:$A$26,1))+($C665-INDEX('Shultis Faw'!$A$2:$A$26,MATCH($C665,'Shultis Faw'!$A$2:$A$26,1)))*(INDEX('Shultis Faw'!$D$2:$D$26,MATCH($C665,'Shultis Faw'!$A$2:$A$26,1)+1)-INDEX('Shultis Faw'!$D$2:$D$26,MATCH($C665,'Shultis Faw'!$A$2:$A$26,1)))/(INDEX('Shultis Faw'!$A$2:$A$26,MATCH($C665,'Shultis Faw'!$A$2:$A$26,1)+1)-INDEX('Shultis Faw'!$A$2:$A$26,MATCH($C665,'Shultis Faw'!$A$2:$A$26,1))),$C665*'Shultis Faw'!$D$2/'Shultis Faw'!$A$2)</f>
        <v>1.717193</v>
      </c>
      <c r="K665" s="83">
        <f>_xlfn.IFNA(INDEX('Shultis Faw'!$B$2:$B$26,MATCH($C665,'Shultis Faw'!$A$2:$A$26,1))+($C665-INDEX('Shultis Faw'!$A$2:$A$26,MATCH($C665,'Shultis Faw'!$A$2:$A$26,1)))*(INDEX('Shultis Faw'!$B$2:$B$26,MATCH($C665,'Shultis Faw'!$A$2:$A$26,1)+1)-INDEX('Shultis Faw'!$B$2:$B$26,MATCH($C665,'Shultis Faw'!$A$2:$A$26,1)))/(INDEX('Shultis Faw'!$A$2:$A$26,MATCH($C665,'Shultis Faw'!$A$2:$A$26,1)+1)-INDEX('Shultis Faw'!$A$2:$A$26,MATCH($C665,'Shultis Faw'!$A$2:$A$26,1))),$C665*'Shultis Faw'!$B$2/'Shultis Faw'!$A$2)</f>
        <v>-0.128829</v>
      </c>
      <c r="L665" s="83">
        <f>_xlfn.IFNA(INDEX('Shultis Faw'!$E$2:$E$26,MATCH($C665,'Shultis Faw'!$A$2:$A$26,1))+($C665-INDEX('Shultis Faw'!$A$2:$A$26,MATCH($C665,'Shultis Faw'!$A$2:$A$26,1)))*(INDEX('Shultis Faw'!$E$2:$E$26,MATCH($C665,'Shultis Faw'!$A$2:$A$26,1)+1)-INDEX('Shultis Faw'!$E$2:$E$26,MATCH($C665,'Shultis Faw'!$A$2:$A$26,1)))/(INDEX('Shultis Faw'!$A$2:$A$26,MATCH($C665,'Shultis Faw'!$A$2:$A$26,1)+1)-INDEX('Shultis Faw'!$A$2:$A$26,MATCH($C665,'Shultis Faw'!$A$2:$A$26,1))),$C665*'Shultis Faw'!$E$2/'Shultis Faw'!$A$2)</f>
        <v>5.2187699999999997E-2</v>
      </c>
      <c r="M665" s="83">
        <f>_xlfn.IFNA(INDEX('Shultis Faw'!$F$2:$F$26,MATCH($C665,'Shultis Faw'!$A$2:$A$26,1))+($C665-INDEX('Shultis Faw'!$A$2:$A$26,MATCH($C665,'Shultis Faw'!$A$2:$A$26,1)))*(INDEX('Shultis Faw'!$F$2:$F$26,MATCH($C665,'Shultis Faw'!$A$2:$A$26,1)+1)-INDEX('Shultis Faw'!$F$2:$F$26,MATCH($C665,'Shultis Faw'!$A$2:$A$26,1)))/(INDEX('Shultis Faw'!$A$2:$A$26,MATCH($C665,'Shultis Faw'!$A$2:$A$26,1)+1)-INDEX('Shultis Faw'!$A$2:$A$26,MATCH($C665,'Shultis Faw'!$A$2:$A$26,1))),$C665*'Shultis Faw'!$F$2/'Shultis Faw'!$A$2)</f>
        <v>14.273899999999999</v>
      </c>
      <c r="N665" s="83">
        <f>J665*(H665*'Externe blootstelling'!$D$23/2)^K665+L665*(TANH(((H665*'Externe blootstelling'!$D$23)/(2*M665))-2)-TANH(-2))/(1-TANH(-2))</f>
        <v>1.6464702057010583</v>
      </c>
      <c r="O665" s="83">
        <f>IF(N665=1,1+(I665-1)*H665*'Externe blootstelling'!$D$23/2,1+(I665-1)*(N665^(H665*'Externe blootstelling'!$D$23/2)-1)/(N665-1))</f>
        <v>3.2075296057350586</v>
      </c>
      <c r="P665" s="67">
        <f>G665*EXP(-H665*'Externe blootstelling'!$D$23/2)*O665</f>
        <v>1.305757227090442E-6</v>
      </c>
      <c r="Q665" s="68"/>
    </row>
    <row r="666" spans="1:17" x14ac:dyDescent="0.2">
      <c r="A666" s="217"/>
      <c r="B666" s="64" t="s">
        <v>104</v>
      </c>
      <c r="C666" s="66">
        <v>0.56410000000000005</v>
      </c>
      <c r="D666" s="66">
        <f t="shared" si="43"/>
        <v>9.0255999999999999E-14</v>
      </c>
      <c r="E666" s="66">
        <v>1.5E-5</v>
      </c>
      <c r="F666" s="66">
        <f>_xlfn.IFNA(INDEX('hp (pSv cm2)'!$B$2:$B$52,MATCH($C666,'hp (pSv cm2)'!$A$2:$A$52,1))+($C666-INDEX('hp (pSv cm2)'!$A$2:$A$52,MATCH($C666,'hp (pSv cm2)'!$A$2:$A$52,1)))*(INDEX('hp (pSv cm2)'!$B$2:$B$52,MATCH($C666,'hp (pSv cm2)'!$A$2:$A$52,1)+1)-INDEX('hp (pSv cm2)'!$B$2:$B$52,MATCH($C666,'hp (pSv cm2)'!$A$2:$A$52,1)))/(INDEX('hp (pSv cm2)'!$A$2:$A$52,MATCH($C666,'hp (pSv cm2)'!$A$2:$A$52,1)+1)-INDEX('hp (pSv cm2)'!$A$2:$A$52,MATCH($C666,'hp (pSv cm2)'!$A$2:$A$52,1))),$C666*'hp (pSv cm2)'!$B$2/'hp (pSv cm2)'!$A$2)</f>
        <v>2.7520400000000005</v>
      </c>
      <c r="G666" s="67">
        <f t="shared" si="45"/>
        <v>4.1280600000000006E-5</v>
      </c>
      <c r="H666" s="83">
        <f>_xlfn.IFNA(0.997*(INDEX('Mass attenuation coefficients'!$B$2:$B$37,MATCH($C666,'Mass attenuation coefficients'!$A$2:$A$37,1))+($C666-INDEX('Mass attenuation coefficients'!$A$2:$A$37,MATCH($C666,'Mass attenuation coefficients'!$A$2:$A$37,1)))*(INDEX('Mass attenuation coefficients'!$B$2:$B$37,MATCH($C666,'Mass attenuation coefficients'!$A$2:$A$37,1)+1)-INDEX('Mass attenuation coefficients'!$B$2:$B$37,MATCH($C666,'Mass attenuation coefficients'!$A$2:$A$37,1)))/(INDEX('Mass attenuation coefficients'!$A$2:$A$37,MATCH($C666,'Mass attenuation coefficients'!$A$2:$A$37,1)+1)-INDEX('Mass attenuation coefficients'!$A$2:$A$37,MATCH($C666,'Mass attenuation coefficients'!$A$2:$A$37,1)))),0.997*$C666*'Mass attenuation coefficients'!$B$2/'Mass attenuation coefficients'!$A$2)</f>
        <v>9.190773713E-2</v>
      </c>
      <c r="I666" s="83">
        <f>_xlfn.IFNA(INDEX('Shultis Faw'!$C$2:$C$26,MATCH($C666,'Shultis Faw'!$A$2:$A$26,1))+($C666-INDEX('Shultis Faw'!$A$2:$A$26,MATCH($C666,'Shultis Faw'!$A$2:$A$26,1)))*(INDEX('Shultis Faw'!$C$2:$C$26,MATCH($C666,'Shultis Faw'!$A$2:$A$26,1)+1)-INDEX('Shultis Faw'!$C$2:$C$26,MATCH($C666,'Shultis Faw'!$A$2:$A$26,1)))/(INDEX('Shultis Faw'!$A$2:$A$26,MATCH($C666,'Shultis Faw'!$A$2:$A$26,1)+1)-INDEX('Shultis Faw'!$A$2:$A$26,MATCH($C666,'Shultis Faw'!$A$2:$A$26,1))),$C666*'Shultis Faw'!$C$2/'Shultis Faw'!$A$2)</f>
        <v>2.421157</v>
      </c>
      <c r="J666" s="83">
        <f>_xlfn.IFNA(INDEX('Shultis Faw'!$D$2:$D$26,MATCH($C666,'Shultis Faw'!$A$2:$A$26,1))+($C666-INDEX('Shultis Faw'!$A$2:$A$26,MATCH($C666,'Shultis Faw'!$A$2:$A$26,1)))*(INDEX('Shultis Faw'!$D$2:$D$26,MATCH($C666,'Shultis Faw'!$A$2:$A$26,1)+1)-INDEX('Shultis Faw'!$D$2:$D$26,MATCH($C666,'Shultis Faw'!$A$2:$A$26,1)))/(INDEX('Shultis Faw'!$A$2:$A$26,MATCH($C666,'Shultis Faw'!$A$2:$A$26,1)+1)-INDEX('Shultis Faw'!$A$2:$A$26,MATCH($C666,'Shultis Faw'!$A$2:$A$26,1))),$C666*'Shultis Faw'!$D$2/'Shultis Faw'!$A$2)</f>
        <v>1.7102329999999999</v>
      </c>
      <c r="K666" s="83">
        <f>_xlfn.IFNA(INDEX('Shultis Faw'!$B$2:$B$26,MATCH($C666,'Shultis Faw'!$A$2:$A$26,1))+($C666-INDEX('Shultis Faw'!$A$2:$A$26,MATCH($C666,'Shultis Faw'!$A$2:$A$26,1)))*(INDEX('Shultis Faw'!$B$2:$B$26,MATCH($C666,'Shultis Faw'!$A$2:$A$26,1)+1)-INDEX('Shultis Faw'!$B$2:$B$26,MATCH($C666,'Shultis Faw'!$A$2:$A$26,1)))/(INDEX('Shultis Faw'!$A$2:$A$26,MATCH($C666,'Shultis Faw'!$A$2:$A$26,1)+1)-INDEX('Shultis Faw'!$A$2:$A$26,MATCH($C666,'Shultis Faw'!$A$2:$A$26,1))),$C666*'Shultis Faw'!$B$2/'Shultis Faw'!$A$2)</f>
        <v>-0.12794900000000001</v>
      </c>
      <c r="L666" s="83">
        <f>_xlfn.IFNA(INDEX('Shultis Faw'!$E$2:$E$26,MATCH($C666,'Shultis Faw'!$A$2:$A$26,1))+($C666-INDEX('Shultis Faw'!$A$2:$A$26,MATCH($C666,'Shultis Faw'!$A$2:$A$26,1)))*(INDEX('Shultis Faw'!$E$2:$E$26,MATCH($C666,'Shultis Faw'!$A$2:$A$26,1)+1)-INDEX('Shultis Faw'!$E$2:$E$26,MATCH($C666,'Shultis Faw'!$A$2:$A$26,1)))/(INDEX('Shultis Faw'!$A$2:$A$26,MATCH($C666,'Shultis Faw'!$A$2:$A$26,1)+1)-INDEX('Shultis Faw'!$A$2:$A$26,MATCH($C666,'Shultis Faw'!$A$2:$A$26,1))),$C666*'Shultis Faw'!$E$2/'Shultis Faw'!$A$2)</f>
        <v>5.18437E-2</v>
      </c>
      <c r="M666" s="83">
        <f>_xlfn.IFNA(INDEX('Shultis Faw'!$F$2:$F$26,MATCH($C666,'Shultis Faw'!$A$2:$A$26,1))+($C666-INDEX('Shultis Faw'!$A$2:$A$26,MATCH($C666,'Shultis Faw'!$A$2:$A$26,1)))*(INDEX('Shultis Faw'!$F$2:$F$26,MATCH($C666,'Shultis Faw'!$A$2:$A$26,1)+1)-INDEX('Shultis Faw'!$F$2:$F$26,MATCH($C666,'Shultis Faw'!$A$2:$A$26,1)))/(INDEX('Shultis Faw'!$A$2:$A$26,MATCH($C666,'Shultis Faw'!$A$2:$A$26,1)+1)-INDEX('Shultis Faw'!$A$2:$A$26,MATCH($C666,'Shultis Faw'!$A$2:$A$26,1))),$C666*'Shultis Faw'!$F$2/'Shultis Faw'!$A$2)</f>
        <v>14.2659</v>
      </c>
      <c r="N666" s="83">
        <f>J666*(H666*'Externe blootstelling'!$D$23/2)^K666+L666*(TANH(((H666*'Externe blootstelling'!$D$23)/(2*M666))-2)-TANH(-2))/(1-TANH(-2))</f>
        <v>1.6415951028573292</v>
      </c>
      <c r="O666" s="83">
        <f>IF(N666=1,1+(I666-1)*H666*'Externe blootstelling'!$D$23/2,1+(I666-1)*(N666^(H666*'Externe blootstelling'!$D$23/2)-1)/(N666-1))</f>
        <v>3.1717872095298447</v>
      </c>
      <c r="P666" s="67">
        <f>G666*EXP(-H666*'Externe blootstelling'!$D$23/2)*O666</f>
        <v>3.2985623549120375E-5</v>
      </c>
      <c r="Q666" s="68"/>
    </row>
    <row r="667" spans="1:17" x14ac:dyDescent="0.2">
      <c r="A667" s="217"/>
      <c r="B667" s="64" t="s">
        <v>104</v>
      </c>
      <c r="C667" s="66">
        <v>0.5766</v>
      </c>
      <c r="D667" s="66">
        <f t="shared" si="43"/>
        <v>9.2255999999999991E-14</v>
      </c>
      <c r="E667" s="66">
        <v>9.0000000000000007E-7</v>
      </c>
      <c r="F667" s="66">
        <f>_xlfn.IFNA(INDEX('hp (pSv cm2)'!$B$2:$B$52,MATCH($C667,'hp (pSv cm2)'!$A$2:$A$52,1))+($C667-INDEX('hp (pSv cm2)'!$A$2:$A$52,MATCH($C667,'hp (pSv cm2)'!$A$2:$A$52,1)))*(INDEX('hp (pSv cm2)'!$B$2:$B$52,MATCH($C667,'hp (pSv cm2)'!$A$2:$A$52,1)+1)-INDEX('hp (pSv cm2)'!$B$2:$B$52,MATCH($C667,'hp (pSv cm2)'!$A$2:$A$52,1)))/(INDEX('hp (pSv cm2)'!$A$2:$A$52,MATCH($C667,'hp (pSv cm2)'!$A$2:$A$52,1)+1)-INDEX('hp (pSv cm2)'!$A$2:$A$52,MATCH($C667,'hp (pSv cm2)'!$A$2:$A$52,1))),$C667*'hp (pSv cm2)'!$B$2/'hp (pSv cm2)'!$A$2)</f>
        <v>2.8070400000000002</v>
      </c>
      <c r="G667" s="67">
        <f t="shared" si="45"/>
        <v>2.5263360000000004E-6</v>
      </c>
      <c r="H667" s="83">
        <f>_xlfn.IFNA(0.997*(INDEX('Mass attenuation coefficients'!$B$2:$B$37,MATCH($C667,'Mass attenuation coefficients'!$A$2:$A$37,1))+($C667-INDEX('Mass attenuation coefficients'!$A$2:$A$37,MATCH($C667,'Mass attenuation coefficients'!$A$2:$A$37,1)))*(INDEX('Mass attenuation coefficients'!$B$2:$B$37,MATCH($C667,'Mass attenuation coefficients'!$A$2:$A$37,1)+1)-INDEX('Mass attenuation coefficients'!$B$2:$B$37,MATCH($C667,'Mass attenuation coefficients'!$A$2:$A$37,1)))/(INDEX('Mass attenuation coefficients'!$A$2:$A$37,MATCH($C667,'Mass attenuation coefficients'!$A$2:$A$37,1)+1)-INDEX('Mass attenuation coefficients'!$A$2:$A$37,MATCH($C667,'Mass attenuation coefficients'!$A$2:$A$37,1)))),0.997*$C667*'Mass attenuation coefficients'!$B$2/'Mass attenuation coefficients'!$A$2)</f>
        <v>9.0996728380000003E-2</v>
      </c>
      <c r="I667" s="83">
        <f>_xlfn.IFNA(INDEX('Shultis Faw'!$C$2:$C$26,MATCH($C667,'Shultis Faw'!$A$2:$A$26,1))+($C667-INDEX('Shultis Faw'!$A$2:$A$26,MATCH($C667,'Shultis Faw'!$A$2:$A$26,1)))*(INDEX('Shultis Faw'!$C$2:$C$26,MATCH($C667,'Shultis Faw'!$A$2:$A$26,1)+1)-INDEX('Shultis Faw'!$C$2:$C$26,MATCH($C667,'Shultis Faw'!$A$2:$A$26,1)))/(INDEX('Shultis Faw'!$A$2:$A$26,MATCH($C667,'Shultis Faw'!$A$2:$A$26,1)+1)-INDEX('Shultis Faw'!$A$2:$A$26,MATCH($C667,'Shultis Faw'!$A$2:$A$26,1))),$C667*'Shultis Faw'!$C$2/'Shultis Faw'!$A$2)</f>
        <v>2.4057819999999999</v>
      </c>
      <c r="J667" s="83">
        <f>_xlfn.IFNA(INDEX('Shultis Faw'!$D$2:$D$26,MATCH($C667,'Shultis Faw'!$A$2:$A$26,1))+($C667-INDEX('Shultis Faw'!$A$2:$A$26,MATCH($C667,'Shultis Faw'!$A$2:$A$26,1)))*(INDEX('Shultis Faw'!$D$2:$D$26,MATCH($C667,'Shultis Faw'!$A$2:$A$26,1)+1)-INDEX('Shultis Faw'!$D$2:$D$26,MATCH($C667,'Shultis Faw'!$A$2:$A$26,1)))/(INDEX('Shultis Faw'!$A$2:$A$26,MATCH($C667,'Shultis Faw'!$A$2:$A$26,1)+1)-INDEX('Shultis Faw'!$A$2:$A$26,MATCH($C667,'Shultis Faw'!$A$2:$A$26,1))),$C667*'Shultis Faw'!$D$2/'Shultis Faw'!$A$2)</f>
        <v>1.6993579999999999</v>
      </c>
      <c r="K667" s="83">
        <f>_xlfn.IFNA(INDEX('Shultis Faw'!$B$2:$B$26,MATCH($C667,'Shultis Faw'!$A$2:$A$26,1))+($C667-INDEX('Shultis Faw'!$A$2:$A$26,MATCH($C667,'Shultis Faw'!$A$2:$A$26,1)))*(INDEX('Shultis Faw'!$B$2:$B$26,MATCH($C667,'Shultis Faw'!$A$2:$A$26,1)+1)-INDEX('Shultis Faw'!$B$2:$B$26,MATCH($C667,'Shultis Faw'!$A$2:$A$26,1)))/(INDEX('Shultis Faw'!$A$2:$A$26,MATCH($C667,'Shultis Faw'!$A$2:$A$26,1)+1)-INDEX('Shultis Faw'!$A$2:$A$26,MATCH($C667,'Shultis Faw'!$A$2:$A$26,1))),$C667*'Shultis Faw'!$B$2/'Shultis Faw'!$A$2)</f>
        <v>-0.12657399999999999</v>
      </c>
      <c r="L667" s="83">
        <f>_xlfn.IFNA(INDEX('Shultis Faw'!$E$2:$E$26,MATCH($C667,'Shultis Faw'!$A$2:$A$26,1))+($C667-INDEX('Shultis Faw'!$A$2:$A$26,MATCH($C667,'Shultis Faw'!$A$2:$A$26,1)))*(INDEX('Shultis Faw'!$E$2:$E$26,MATCH($C667,'Shultis Faw'!$A$2:$A$26,1)+1)-INDEX('Shultis Faw'!$E$2:$E$26,MATCH($C667,'Shultis Faw'!$A$2:$A$26,1)))/(INDEX('Shultis Faw'!$A$2:$A$26,MATCH($C667,'Shultis Faw'!$A$2:$A$26,1)+1)-INDEX('Shultis Faw'!$A$2:$A$26,MATCH($C667,'Shultis Faw'!$A$2:$A$26,1))),$C667*'Shultis Faw'!$E$2/'Shultis Faw'!$A$2)</f>
        <v>5.1306199999999996E-2</v>
      </c>
      <c r="M667" s="83">
        <f>_xlfn.IFNA(INDEX('Shultis Faw'!$F$2:$F$26,MATCH($C667,'Shultis Faw'!$A$2:$A$26,1))+($C667-INDEX('Shultis Faw'!$A$2:$A$26,MATCH($C667,'Shultis Faw'!$A$2:$A$26,1)))*(INDEX('Shultis Faw'!$F$2:$F$26,MATCH($C667,'Shultis Faw'!$A$2:$A$26,1)+1)-INDEX('Shultis Faw'!$F$2:$F$26,MATCH($C667,'Shultis Faw'!$A$2:$A$26,1)))/(INDEX('Shultis Faw'!$A$2:$A$26,MATCH($C667,'Shultis Faw'!$A$2:$A$26,1)+1)-INDEX('Shultis Faw'!$A$2:$A$26,MATCH($C667,'Shultis Faw'!$A$2:$A$26,1))),$C667*'Shultis Faw'!$F$2/'Shultis Faw'!$A$2)</f>
        <v>14.253400000000001</v>
      </c>
      <c r="N667" s="83">
        <f>J667*(H667*'Externe blootstelling'!$D$23/2)^K667+L667*(TANH(((H667*'Externe blootstelling'!$D$23)/(2*M667))-2)-TANH(-2))/(1-TANH(-2))</f>
        <v>1.6339326879108726</v>
      </c>
      <c r="O667" s="83">
        <f>IF(N667=1,1+(I667-1)*H667*'Externe blootstelling'!$D$23/2,1+(I667-1)*(N667^(H667*'Externe blootstelling'!$D$23/2)-1)/(N667-1))</f>
        <v>3.1168428947631592</v>
      </c>
      <c r="P667" s="67">
        <f>G667*EXP(-H667*'Externe blootstelling'!$D$23/2)*O667</f>
        <v>2.0110152676245715E-6</v>
      </c>
      <c r="Q667" s="68"/>
    </row>
    <row r="668" spans="1:17" x14ac:dyDescent="0.2">
      <c r="A668" s="217"/>
      <c r="B668" s="64" t="s">
        <v>104</v>
      </c>
      <c r="C668" s="66">
        <v>0.60829999999999995</v>
      </c>
      <c r="D668" s="66">
        <f t="shared" si="43"/>
        <v>9.7327999999999994E-14</v>
      </c>
      <c r="E668" s="66">
        <v>4.4000000000000006E-5</v>
      </c>
      <c r="F668" s="66">
        <f>_xlfn.IFNA(INDEX('hp (pSv cm2)'!$B$2:$B$52,MATCH($C668,'hp (pSv cm2)'!$A$2:$A$52,1))+($C668-INDEX('hp (pSv cm2)'!$A$2:$A$52,MATCH($C668,'hp (pSv cm2)'!$A$2:$A$52,1)))*(INDEX('hp (pSv cm2)'!$B$2:$B$52,MATCH($C668,'hp (pSv cm2)'!$A$2:$A$52,1)+1)-INDEX('hp (pSv cm2)'!$B$2:$B$52,MATCH($C668,'hp (pSv cm2)'!$A$2:$A$52,1)))/(INDEX('hp (pSv cm2)'!$A$2:$A$52,MATCH($C668,'hp (pSv cm2)'!$A$2:$A$52,1)+1)-INDEX('hp (pSv cm2)'!$A$2:$A$52,MATCH($C668,'hp (pSv cm2)'!$A$2:$A$52,1))),$C668*'hp (pSv cm2)'!$B$2/'hp (pSv cm2)'!$A$2)</f>
        <v>2.9440300000000001</v>
      </c>
      <c r="G668" s="67">
        <f t="shared" si="45"/>
        <v>1.2953732000000001E-4</v>
      </c>
      <c r="H668" s="83">
        <f>_xlfn.IFNA(0.997*(INDEX('Mass attenuation coefficients'!$B$2:$B$37,MATCH($C668,'Mass attenuation coefficients'!$A$2:$A$37,1))+($C668-INDEX('Mass attenuation coefficients'!$A$2:$A$37,MATCH($C668,'Mass attenuation coefficients'!$A$2:$A$37,1)))*(INDEX('Mass attenuation coefficients'!$B$2:$B$37,MATCH($C668,'Mass attenuation coefficients'!$A$2:$A$37,1)+1)-INDEX('Mass attenuation coefficients'!$B$2:$B$37,MATCH($C668,'Mass attenuation coefficients'!$A$2:$A$37,1)))/(INDEX('Mass attenuation coefficients'!$A$2:$A$37,MATCH($C668,'Mass attenuation coefficients'!$A$2:$A$37,1)+1)-INDEX('Mass attenuation coefficients'!$A$2:$A$37,MATCH($C668,'Mass attenuation coefficients'!$A$2:$A$37,1)))),0.997*$C668*'Mass attenuation coefficients'!$B$2/'Mass attenuation coefficients'!$A$2)</f>
        <v>8.8839913295000003E-2</v>
      </c>
      <c r="I668" s="83">
        <f>_xlfn.IFNA(INDEX('Shultis Faw'!$C$2:$C$26,MATCH($C668,'Shultis Faw'!$A$2:$A$26,1))+($C668-INDEX('Shultis Faw'!$A$2:$A$26,MATCH($C668,'Shultis Faw'!$A$2:$A$26,1)))*(INDEX('Shultis Faw'!$C$2:$C$26,MATCH($C668,'Shultis Faw'!$A$2:$A$26,1)+1)-INDEX('Shultis Faw'!$C$2:$C$26,MATCH($C668,'Shultis Faw'!$A$2:$A$26,1)))/(INDEX('Shultis Faw'!$A$2:$A$26,MATCH($C668,'Shultis Faw'!$A$2:$A$26,1)+1)-INDEX('Shultis Faw'!$A$2:$A$26,MATCH($C668,'Shultis Faw'!$A$2:$A$26,1))),$C668*'Shultis Faw'!$C$2/'Shultis Faw'!$A$2)</f>
        <v>2.3701524999999997</v>
      </c>
      <c r="J668" s="83">
        <f>_xlfn.IFNA(INDEX('Shultis Faw'!$D$2:$D$26,MATCH($C668,'Shultis Faw'!$A$2:$A$26,1))+($C668-INDEX('Shultis Faw'!$A$2:$A$26,MATCH($C668,'Shultis Faw'!$A$2:$A$26,1)))*(INDEX('Shultis Faw'!$D$2:$D$26,MATCH($C668,'Shultis Faw'!$A$2:$A$26,1)+1)-INDEX('Shultis Faw'!$D$2:$D$26,MATCH($C668,'Shultis Faw'!$A$2:$A$26,1)))/(INDEX('Shultis Faw'!$A$2:$A$26,MATCH($C668,'Shultis Faw'!$A$2:$A$26,1)+1)-INDEX('Shultis Faw'!$A$2:$A$26,MATCH($C668,'Shultis Faw'!$A$2:$A$26,1))),$C668*'Shultis Faw'!$D$2/'Shultis Faw'!$A$2)</f>
        <v>1.6733975000000001</v>
      </c>
      <c r="K668" s="83">
        <f>_xlfn.IFNA(INDEX('Shultis Faw'!$B$2:$B$26,MATCH($C668,'Shultis Faw'!$A$2:$A$26,1))+($C668-INDEX('Shultis Faw'!$A$2:$A$26,MATCH($C668,'Shultis Faw'!$A$2:$A$26,1)))*(INDEX('Shultis Faw'!$B$2:$B$26,MATCH($C668,'Shultis Faw'!$A$2:$A$26,1)+1)-INDEX('Shultis Faw'!$B$2:$B$26,MATCH($C668,'Shultis Faw'!$A$2:$A$26,1)))/(INDEX('Shultis Faw'!$A$2:$A$26,MATCH($C668,'Shultis Faw'!$A$2:$A$26,1)+1)-INDEX('Shultis Faw'!$A$2:$A$26,MATCH($C668,'Shultis Faw'!$A$2:$A$26,1))),$C668*'Shultis Faw'!$B$2/'Shultis Faw'!$A$2)</f>
        <v>-0.1232115</v>
      </c>
      <c r="L668" s="83">
        <f>_xlfn.IFNA(INDEX('Shultis Faw'!$E$2:$E$26,MATCH($C668,'Shultis Faw'!$A$2:$A$26,1))+($C668-INDEX('Shultis Faw'!$A$2:$A$26,MATCH($C668,'Shultis Faw'!$A$2:$A$26,1)))*(INDEX('Shultis Faw'!$E$2:$E$26,MATCH($C668,'Shultis Faw'!$A$2:$A$26,1)+1)-INDEX('Shultis Faw'!$E$2:$E$26,MATCH($C668,'Shultis Faw'!$A$2:$A$26,1)))/(INDEX('Shultis Faw'!$A$2:$A$26,MATCH($C668,'Shultis Faw'!$A$2:$A$26,1)+1)-INDEX('Shultis Faw'!$A$2:$A$26,MATCH($C668,'Shultis Faw'!$A$2:$A$26,1))),$C668*'Shultis Faw'!$E$2/'Shultis Faw'!$A$2)</f>
        <v>5.0026099999999997E-2</v>
      </c>
      <c r="M668" s="83">
        <f>_xlfn.IFNA(INDEX('Shultis Faw'!$F$2:$F$26,MATCH($C668,'Shultis Faw'!$A$2:$A$26,1))+($C668-INDEX('Shultis Faw'!$A$2:$A$26,MATCH($C668,'Shultis Faw'!$A$2:$A$26,1)))*(INDEX('Shultis Faw'!$F$2:$F$26,MATCH($C668,'Shultis Faw'!$A$2:$A$26,1)+1)-INDEX('Shultis Faw'!$F$2:$F$26,MATCH($C668,'Shultis Faw'!$A$2:$A$26,1)))/(INDEX('Shultis Faw'!$A$2:$A$26,MATCH($C668,'Shultis Faw'!$A$2:$A$26,1)+1)-INDEX('Shultis Faw'!$A$2:$A$26,MATCH($C668,'Shultis Faw'!$A$2:$A$26,1))),$C668*'Shultis Faw'!$F$2/'Shultis Faw'!$A$2)</f>
        <v>14.235395</v>
      </c>
      <c r="N668" s="83">
        <f>J668*(H668*'Externe blootstelling'!$D$23/2)^K668+L668*(TANH(((H668*'Externe blootstelling'!$D$23)/(2*M668))-2)-TANH(-2))/(1-TANH(-2))</f>
        <v>1.6154158622199883</v>
      </c>
      <c r="O668" s="83">
        <f>IF(N668=1,1+(I668-1)*H668*'Externe blootstelling'!$D$23/2,1+(I668-1)*(N668^(H668*'Externe blootstelling'!$D$23/2)-1)/(N668-1))</f>
        <v>2.9921308999496858</v>
      </c>
      <c r="P668" s="67">
        <f>G668*EXP(-H668*'Externe blootstelling'!$D$23/2)*O668</f>
        <v>1.0224338870224968E-4</v>
      </c>
      <c r="Q668" s="68"/>
    </row>
    <row r="669" spans="1:17" x14ac:dyDescent="0.2">
      <c r="A669" s="217"/>
      <c r="B669" s="64" t="s">
        <v>104</v>
      </c>
      <c r="C669" s="66">
        <v>0.61990000000000001</v>
      </c>
      <c r="D669" s="66">
        <f t="shared" si="43"/>
        <v>9.9183999999999999E-14</v>
      </c>
      <c r="E669" s="66">
        <v>3.3000000000000002E-6</v>
      </c>
      <c r="F669" s="66">
        <f>_xlfn.IFNA(INDEX('hp (pSv cm2)'!$B$2:$B$52,MATCH($C669,'hp (pSv cm2)'!$A$2:$A$52,1))+($C669-INDEX('hp (pSv cm2)'!$A$2:$A$52,MATCH($C669,'hp (pSv cm2)'!$A$2:$A$52,1)))*(INDEX('hp (pSv cm2)'!$B$2:$B$52,MATCH($C669,'hp (pSv cm2)'!$A$2:$A$52,1)+1)-INDEX('hp (pSv cm2)'!$B$2:$B$52,MATCH($C669,'hp (pSv cm2)'!$A$2:$A$52,1)))/(INDEX('hp (pSv cm2)'!$A$2:$A$52,MATCH($C669,'hp (pSv cm2)'!$A$2:$A$52,1)+1)-INDEX('hp (pSv cm2)'!$A$2:$A$52,MATCH($C669,'hp (pSv cm2)'!$A$2:$A$52,1))),$C669*'hp (pSv cm2)'!$B$2/'hp (pSv cm2)'!$A$2)</f>
        <v>2.9915900000000004</v>
      </c>
      <c r="G669" s="67">
        <f t="shared" si="45"/>
        <v>9.872247000000002E-6</v>
      </c>
      <c r="H669" s="83">
        <f>_xlfn.IFNA(0.997*(INDEX('Mass attenuation coefficients'!$B$2:$B$37,MATCH($C669,'Mass attenuation coefficients'!$A$2:$A$37,1))+($C669-INDEX('Mass attenuation coefficients'!$A$2:$A$37,MATCH($C669,'Mass attenuation coefficients'!$A$2:$A$37,1)))*(INDEX('Mass attenuation coefficients'!$B$2:$B$37,MATCH($C669,'Mass attenuation coefficients'!$A$2:$A$37,1)+1)-INDEX('Mass attenuation coefficients'!$B$2:$B$37,MATCH($C669,'Mass attenuation coefficients'!$A$2:$A$37,1)))/(INDEX('Mass attenuation coefficients'!$A$2:$A$37,MATCH($C669,'Mass attenuation coefficients'!$A$2:$A$37,1)+1)-INDEX('Mass attenuation coefficients'!$A$2:$A$37,MATCH($C669,'Mass attenuation coefficients'!$A$2:$A$37,1)))),0.997*$C669*'Mass attenuation coefficients'!$B$2/'Mass attenuation coefficients'!$A$2)</f>
        <v>8.820903163499999E-2</v>
      </c>
      <c r="I669" s="83">
        <f>_xlfn.IFNA(INDEX('Shultis Faw'!$C$2:$C$26,MATCH($C669,'Shultis Faw'!$A$2:$A$26,1))+($C669-INDEX('Shultis Faw'!$A$2:$A$26,MATCH($C669,'Shultis Faw'!$A$2:$A$26,1)))*(INDEX('Shultis Faw'!$C$2:$C$26,MATCH($C669,'Shultis Faw'!$A$2:$A$26,1)+1)-INDEX('Shultis Faw'!$C$2:$C$26,MATCH($C669,'Shultis Faw'!$A$2:$A$26,1)))/(INDEX('Shultis Faw'!$A$2:$A$26,MATCH($C669,'Shultis Faw'!$A$2:$A$26,1)+1)-INDEX('Shultis Faw'!$A$2:$A$26,MATCH($C669,'Shultis Faw'!$A$2:$A$26,1))),$C669*'Shultis Faw'!$C$2/'Shultis Faw'!$A$2)</f>
        <v>2.3605824999999996</v>
      </c>
      <c r="J669" s="83">
        <f>_xlfn.IFNA(INDEX('Shultis Faw'!$D$2:$D$26,MATCH($C669,'Shultis Faw'!$A$2:$A$26,1))+($C669-INDEX('Shultis Faw'!$A$2:$A$26,MATCH($C669,'Shultis Faw'!$A$2:$A$26,1)))*(INDEX('Shultis Faw'!$D$2:$D$26,MATCH($C669,'Shultis Faw'!$A$2:$A$26,1)+1)-INDEX('Shultis Faw'!$D$2:$D$26,MATCH($C669,'Shultis Faw'!$A$2:$A$26,1)))/(INDEX('Shultis Faw'!$A$2:$A$26,MATCH($C669,'Shultis Faw'!$A$2:$A$26,1)+1)-INDEX('Shultis Faw'!$A$2:$A$26,MATCH($C669,'Shultis Faw'!$A$2:$A$26,1))),$C669*'Shultis Faw'!$D$2/'Shultis Faw'!$A$2)</f>
        <v>1.6655675000000001</v>
      </c>
      <c r="K669" s="83">
        <f>_xlfn.IFNA(INDEX('Shultis Faw'!$B$2:$B$26,MATCH($C669,'Shultis Faw'!$A$2:$A$26,1))+($C669-INDEX('Shultis Faw'!$A$2:$A$26,MATCH($C669,'Shultis Faw'!$A$2:$A$26,1)))*(INDEX('Shultis Faw'!$B$2:$B$26,MATCH($C669,'Shultis Faw'!$A$2:$A$26,1)+1)-INDEX('Shultis Faw'!$B$2:$B$26,MATCH($C669,'Shultis Faw'!$A$2:$A$26,1)))/(INDEX('Shultis Faw'!$A$2:$A$26,MATCH($C669,'Shultis Faw'!$A$2:$A$26,1)+1)-INDEX('Shultis Faw'!$A$2:$A$26,MATCH($C669,'Shultis Faw'!$A$2:$A$26,1))),$C669*'Shultis Faw'!$B$2/'Shultis Faw'!$A$2)</f>
        <v>-0.1221095</v>
      </c>
      <c r="L669" s="83">
        <f>_xlfn.IFNA(INDEX('Shultis Faw'!$E$2:$E$26,MATCH($C669,'Shultis Faw'!$A$2:$A$26,1))+($C669-INDEX('Shultis Faw'!$A$2:$A$26,MATCH($C669,'Shultis Faw'!$A$2:$A$26,1)))*(INDEX('Shultis Faw'!$E$2:$E$26,MATCH($C669,'Shultis Faw'!$A$2:$A$26,1)+1)-INDEX('Shultis Faw'!$E$2:$E$26,MATCH($C669,'Shultis Faw'!$A$2:$A$26,1)))/(INDEX('Shultis Faw'!$A$2:$A$26,MATCH($C669,'Shultis Faw'!$A$2:$A$26,1)+1)-INDEX('Shultis Faw'!$A$2:$A$26,MATCH($C669,'Shultis Faw'!$A$2:$A$26,1))),$C669*'Shultis Faw'!$E$2/'Shultis Faw'!$A$2)</f>
        <v>4.9643299999999994E-2</v>
      </c>
      <c r="M669" s="83">
        <f>_xlfn.IFNA(INDEX('Shultis Faw'!$F$2:$F$26,MATCH($C669,'Shultis Faw'!$A$2:$A$26,1))+($C669-INDEX('Shultis Faw'!$A$2:$A$26,MATCH($C669,'Shultis Faw'!$A$2:$A$26,1)))*(INDEX('Shultis Faw'!$F$2:$F$26,MATCH($C669,'Shultis Faw'!$A$2:$A$26,1)+1)-INDEX('Shultis Faw'!$F$2:$F$26,MATCH($C669,'Shultis Faw'!$A$2:$A$26,1)))/(INDEX('Shultis Faw'!$A$2:$A$26,MATCH($C669,'Shultis Faw'!$A$2:$A$26,1)+1)-INDEX('Shultis Faw'!$A$2:$A$26,MATCH($C669,'Shultis Faw'!$A$2:$A$26,1))),$C669*'Shultis Faw'!$F$2/'Shultis Faw'!$A$2)</f>
        <v>14.242935000000001</v>
      </c>
      <c r="N669" s="83">
        <f>J669*(H669*'Externe blootstelling'!$D$23/2)^K669+L669*(TANH(((H669*'Externe blootstelling'!$D$23)/(2*M669))-2)-TANH(-2))/(1-TANH(-2))</f>
        <v>1.6097639715295811</v>
      </c>
      <c r="O669" s="83">
        <f>IF(N669=1,1+(I669-1)*H669*'Externe blootstelling'!$D$23/2,1+(I669-1)*(N669^(H669*'Externe blootstelling'!$D$23/2)-1)/(N669-1))</f>
        <v>2.9579355524157207</v>
      </c>
      <c r="P669" s="67">
        <f>G669*EXP(-H669*'Externe blootstelling'!$D$23/2)*O669</f>
        <v>7.7763228811813556E-6</v>
      </c>
      <c r="Q669" s="68"/>
    </row>
    <row r="670" spans="1:17" x14ac:dyDescent="0.2">
      <c r="A670" s="217"/>
      <c r="B670" s="64" t="s">
        <v>104</v>
      </c>
      <c r="C670" s="66">
        <v>0.66549999999999998</v>
      </c>
      <c r="D670" s="66">
        <f t="shared" si="43"/>
        <v>1.0647999999999999E-13</v>
      </c>
      <c r="E670" s="66">
        <v>9.0000000000000007E-7</v>
      </c>
      <c r="F670" s="66">
        <f>_xlfn.IFNA(INDEX('hp (pSv cm2)'!$B$2:$B$52,MATCH($C670,'hp (pSv cm2)'!$A$2:$A$52,1))+($C670-INDEX('hp (pSv cm2)'!$A$2:$A$52,MATCH($C670,'hp (pSv cm2)'!$A$2:$A$52,1)))*(INDEX('hp (pSv cm2)'!$B$2:$B$52,MATCH($C670,'hp (pSv cm2)'!$A$2:$A$52,1)+1)-INDEX('hp (pSv cm2)'!$B$2:$B$52,MATCH($C670,'hp (pSv cm2)'!$A$2:$A$52,1)))/(INDEX('hp (pSv cm2)'!$A$2:$A$52,MATCH($C670,'hp (pSv cm2)'!$A$2:$A$52,1)+1)-INDEX('hp (pSv cm2)'!$A$2:$A$52,MATCH($C670,'hp (pSv cm2)'!$A$2:$A$52,1))),$C670*'hp (pSv cm2)'!$B$2/'hp (pSv cm2)'!$A$2)</f>
        <v>3.17855</v>
      </c>
      <c r="G670" s="67">
        <f t="shared" si="45"/>
        <v>2.8606950000000001E-6</v>
      </c>
      <c r="H670" s="83">
        <f>_xlfn.IFNA(0.997*(INDEX('Mass attenuation coefficients'!$B$2:$B$37,MATCH($C670,'Mass attenuation coefficients'!$A$2:$A$37,1))+($C670-INDEX('Mass attenuation coefficients'!$A$2:$A$37,MATCH($C670,'Mass attenuation coefficients'!$A$2:$A$37,1)))*(INDEX('Mass attenuation coefficients'!$B$2:$B$37,MATCH($C670,'Mass attenuation coefficients'!$A$2:$A$37,1)+1)-INDEX('Mass attenuation coefficients'!$B$2:$B$37,MATCH($C670,'Mass attenuation coefficients'!$A$2:$A$37,1)))/(INDEX('Mass attenuation coefficients'!$A$2:$A$37,MATCH($C670,'Mass attenuation coefficients'!$A$2:$A$37,1)+1)-INDEX('Mass attenuation coefficients'!$A$2:$A$37,MATCH($C670,'Mass attenuation coefficients'!$A$2:$A$37,1)))),0.997*$C670*'Mass attenuation coefficients'!$B$2/'Mass attenuation coefficients'!$A$2)</f>
        <v>8.5729014075000012E-2</v>
      </c>
      <c r="I670" s="83">
        <f>_xlfn.IFNA(INDEX('Shultis Faw'!$C$2:$C$26,MATCH($C670,'Shultis Faw'!$A$2:$A$26,1))+($C670-INDEX('Shultis Faw'!$A$2:$A$26,MATCH($C670,'Shultis Faw'!$A$2:$A$26,1)))*(INDEX('Shultis Faw'!$C$2:$C$26,MATCH($C670,'Shultis Faw'!$A$2:$A$26,1)+1)-INDEX('Shultis Faw'!$C$2:$C$26,MATCH($C670,'Shultis Faw'!$A$2:$A$26,1)))/(INDEX('Shultis Faw'!$A$2:$A$26,MATCH($C670,'Shultis Faw'!$A$2:$A$26,1)+1)-INDEX('Shultis Faw'!$A$2:$A$26,MATCH($C670,'Shultis Faw'!$A$2:$A$26,1))),$C670*'Shultis Faw'!$C$2/'Shultis Faw'!$A$2)</f>
        <v>2.3229625</v>
      </c>
      <c r="J670" s="83">
        <f>_xlfn.IFNA(INDEX('Shultis Faw'!$D$2:$D$26,MATCH($C670,'Shultis Faw'!$A$2:$A$26,1))+($C670-INDEX('Shultis Faw'!$A$2:$A$26,MATCH($C670,'Shultis Faw'!$A$2:$A$26,1)))*(INDEX('Shultis Faw'!$D$2:$D$26,MATCH($C670,'Shultis Faw'!$A$2:$A$26,1)+1)-INDEX('Shultis Faw'!$D$2:$D$26,MATCH($C670,'Shultis Faw'!$A$2:$A$26,1)))/(INDEX('Shultis Faw'!$A$2:$A$26,MATCH($C670,'Shultis Faw'!$A$2:$A$26,1)+1)-INDEX('Shultis Faw'!$A$2:$A$26,MATCH($C670,'Shultis Faw'!$A$2:$A$26,1))),$C670*'Shultis Faw'!$D$2/'Shultis Faw'!$A$2)</f>
        <v>1.6347875000000001</v>
      </c>
      <c r="K670" s="83">
        <f>_xlfn.IFNA(INDEX('Shultis Faw'!$B$2:$B$26,MATCH($C670,'Shultis Faw'!$A$2:$A$26,1))+($C670-INDEX('Shultis Faw'!$A$2:$A$26,MATCH($C670,'Shultis Faw'!$A$2:$A$26,1)))*(INDEX('Shultis Faw'!$B$2:$B$26,MATCH($C670,'Shultis Faw'!$A$2:$A$26,1)+1)-INDEX('Shultis Faw'!$B$2:$B$26,MATCH($C670,'Shultis Faw'!$A$2:$A$26,1)))/(INDEX('Shultis Faw'!$A$2:$A$26,MATCH($C670,'Shultis Faw'!$A$2:$A$26,1)+1)-INDEX('Shultis Faw'!$A$2:$A$26,MATCH($C670,'Shultis Faw'!$A$2:$A$26,1))),$C670*'Shultis Faw'!$B$2/'Shultis Faw'!$A$2)</f>
        <v>-0.11777750000000001</v>
      </c>
      <c r="L670" s="83">
        <f>_xlfn.IFNA(INDEX('Shultis Faw'!$E$2:$E$26,MATCH($C670,'Shultis Faw'!$A$2:$A$26,1))+($C670-INDEX('Shultis Faw'!$A$2:$A$26,MATCH($C670,'Shultis Faw'!$A$2:$A$26,1)))*(INDEX('Shultis Faw'!$E$2:$E$26,MATCH($C670,'Shultis Faw'!$A$2:$A$26,1)+1)-INDEX('Shultis Faw'!$E$2:$E$26,MATCH($C670,'Shultis Faw'!$A$2:$A$26,1)))/(INDEX('Shultis Faw'!$A$2:$A$26,MATCH($C670,'Shultis Faw'!$A$2:$A$26,1)+1)-INDEX('Shultis Faw'!$A$2:$A$26,MATCH($C670,'Shultis Faw'!$A$2:$A$26,1))),$C670*'Shultis Faw'!$E$2/'Shultis Faw'!$A$2)</f>
        <v>4.8138500000000001E-2</v>
      </c>
      <c r="M670" s="83">
        <f>_xlfn.IFNA(INDEX('Shultis Faw'!$F$2:$F$26,MATCH($C670,'Shultis Faw'!$A$2:$A$26,1))+($C670-INDEX('Shultis Faw'!$A$2:$A$26,MATCH($C670,'Shultis Faw'!$A$2:$A$26,1)))*(INDEX('Shultis Faw'!$F$2:$F$26,MATCH($C670,'Shultis Faw'!$A$2:$A$26,1)+1)-INDEX('Shultis Faw'!$F$2:$F$26,MATCH($C670,'Shultis Faw'!$A$2:$A$26,1)))/(INDEX('Shultis Faw'!$A$2:$A$26,MATCH($C670,'Shultis Faw'!$A$2:$A$26,1)+1)-INDEX('Shultis Faw'!$A$2:$A$26,MATCH($C670,'Shultis Faw'!$A$2:$A$26,1))),$C670*'Shultis Faw'!$F$2/'Shultis Faw'!$A$2)</f>
        <v>14.272575</v>
      </c>
      <c r="N670" s="83">
        <f>J670*(H670*'Externe blootstelling'!$D$23/2)^K670+L670*(TANH(((H670*'Externe blootstelling'!$D$23)/(2*M670))-2)-TANH(-2))/(1-TANH(-2))</f>
        <v>1.5872464757813465</v>
      </c>
      <c r="O670" s="83">
        <f>IF(N670=1,1+(I670-1)*H670*'Externe blootstelling'!$D$23/2,1+(I670-1)*(N670^(H670*'Externe blootstelling'!$D$23/2)-1)/(N670-1))</f>
        <v>2.8279529692770251</v>
      </c>
      <c r="P670" s="67">
        <f>G670*EXP(-H670*'Externe blootstelling'!$D$23/2)*O670</f>
        <v>2.235986479840125E-6</v>
      </c>
      <c r="Q670" s="68"/>
    </row>
    <row r="671" spans="1:17" x14ac:dyDescent="0.2">
      <c r="A671" s="217"/>
      <c r="B671" s="64" t="s">
        <v>104</v>
      </c>
      <c r="C671" s="66">
        <v>0.67189999999999994</v>
      </c>
      <c r="D671" s="66">
        <f t="shared" si="43"/>
        <v>1.0750399999999997E-13</v>
      </c>
      <c r="E671" s="66">
        <v>2.2000000000000001E-6</v>
      </c>
      <c r="F671" s="66">
        <f>_xlfn.IFNA(INDEX('hp (pSv cm2)'!$B$2:$B$52,MATCH($C671,'hp (pSv cm2)'!$A$2:$A$52,1))+($C671-INDEX('hp (pSv cm2)'!$A$2:$A$52,MATCH($C671,'hp (pSv cm2)'!$A$2:$A$52,1)))*(INDEX('hp (pSv cm2)'!$B$2:$B$52,MATCH($C671,'hp (pSv cm2)'!$A$2:$A$52,1)+1)-INDEX('hp (pSv cm2)'!$B$2:$B$52,MATCH($C671,'hp (pSv cm2)'!$A$2:$A$52,1)))/(INDEX('hp (pSv cm2)'!$A$2:$A$52,MATCH($C671,'hp (pSv cm2)'!$A$2:$A$52,1)+1)-INDEX('hp (pSv cm2)'!$A$2:$A$52,MATCH($C671,'hp (pSv cm2)'!$A$2:$A$52,1))),$C671*'hp (pSv cm2)'!$B$2/'hp (pSv cm2)'!$A$2)</f>
        <v>3.20479</v>
      </c>
      <c r="G671" s="67">
        <f t="shared" si="45"/>
        <v>7.0505380000000003E-6</v>
      </c>
      <c r="H671" s="83">
        <f>_xlfn.IFNA(0.997*(INDEX('Mass attenuation coefficients'!$B$2:$B$37,MATCH($C671,'Mass attenuation coefficients'!$A$2:$A$37,1))+($C671-INDEX('Mass attenuation coefficients'!$A$2:$A$37,MATCH($C671,'Mass attenuation coefficients'!$A$2:$A$37,1)))*(INDEX('Mass attenuation coefficients'!$B$2:$B$37,MATCH($C671,'Mass attenuation coefficients'!$A$2:$A$37,1)+1)-INDEX('Mass attenuation coefficients'!$B$2:$B$37,MATCH($C671,'Mass attenuation coefficients'!$A$2:$A$37,1)))/(INDEX('Mass attenuation coefficients'!$A$2:$A$37,MATCH($C671,'Mass attenuation coefficients'!$A$2:$A$37,1)+1)-INDEX('Mass attenuation coefficients'!$A$2:$A$37,MATCH($C671,'Mass attenuation coefficients'!$A$2:$A$37,1)))),0.997*$C671*'Mass attenuation coefficients'!$B$2/'Mass attenuation coefficients'!$A$2)</f>
        <v>8.5380941434999996E-2</v>
      </c>
      <c r="I671" s="83">
        <f>_xlfn.IFNA(INDEX('Shultis Faw'!$C$2:$C$26,MATCH($C671,'Shultis Faw'!$A$2:$A$26,1))+($C671-INDEX('Shultis Faw'!$A$2:$A$26,MATCH($C671,'Shultis Faw'!$A$2:$A$26,1)))*(INDEX('Shultis Faw'!$C$2:$C$26,MATCH($C671,'Shultis Faw'!$A$2:$A$26,1)+1)-INDEX('Shultis Faw'!$C$2:$C$26,MATCH($C671,'Shultis Faw'!$A$2:$A$26,1)))/(INDEX('Shultis Faw'!$A$2:$A$26,MATCH($C671,'Shultis Faw'!$A$2:$A$26,1)+1)-INDEX('Shultis Faw'!$A$2:$A$26,MATCH($C671,'Shultis Faw'!$A$2:$A$26,1))),$C671*'Shultis Faw'!$C$2/'Shultis Faw'!$A$2)</f>
        <v>2.3176825000000001</v>
      </c>
      <c r="J671" s="83">
        <f>_xlfn.IFNA(INDEX('Shultis Faw'!$D$2:$D$26,MATCH($C671,'Shultis Faw'!$A$2:$A$26,1))+($C671-INDEX('Shultis Faw'!$A$2:$A$26,MATCH($C671,'Shultis Faw'!$A$2:$A$26,1)))*(INDEX('Shultis Faw'!$D$2:$D$26,MATCH($C671,'Shultis Faw'!$A$2:$A$26,1)+1)-INDEX('Shultis Faw'!$D$2:$D$26,MATCH($C671,'Shultis Faw'!$A$2:$A$26,1)))/(INDEX('Shultis Faw'!$A$2:$A$26,MATCH($C671,'Shultis Faw'!$A$2:$A$26,1)+1)-INDEX('Shultis Faw'!$A$2:$A$26,MATCH($C671,'Shultis Faw'!$A$2:$A$26,1))),$C671*'Shultis Faw'!$D$2/'Shultis Faw'!$A$2)</f>
        <v>1.6304675000000002</v>
      </c>
      <c r="K671" s="83">
        <f>_xlfn.IFNA(INDEX('Shultis Faw'!$B$2:$B$26,MATCH($C671,'Shultis Faw'!$A$2:$A$26,1))+($C671-INDEX('Shultis Faw'!$A$2:$A$26,MATCH($C671,'Shultis Faw'!$A$2:$A$26,1)))*(INDEX('Shultis Faw'!$B$2:$B$26,MATCH($C671,'Shultis Faw'!$A$2:$A$26,1)+1)-INDEX('Shultis Faw'!$B$2:$B$26,MATCH($C671,'Shultis Faw'!$A$2:$A$26,1)))/(INDEX('Shultis Faw'!$A$2:$A$26,MATCH($C671,'Shultis Faw'!$A$2:$A$26,1)+1)-INDEX('Shultis Faw'!$A$2:$A$26,MATCH($C671,'Shultis Faw'!$A$2:$A$26,1))),$C671*'Shultis Faw'!$B$2/'Shultis Faw'!$A$2)</f>
        <v>-0.11716950000000001</v>
      </c>
      <c r="L671" s="83">
        <f>_xlfn.IFNA(INDEX('Shultis Faw'!$E$2:$E$26,MATCH($C671,'Shultis Faw'!$A$2:$A$26,1))+($C671-INDEX('Shultis Faw'!$A$2:$A$26,MATCH($C671,'Shultis Faw'!$A$2:$A$26,1)))*(INDEX('Shultis Faw'!$E$2:$E$26,MATCH($C671,'Shultis Faw'!$A$2:$A$26,1)+1)-INDEX('Shultis Faw'!$E$2:$E$26,MATCH($C671,'Shultis Faw'!$A$2:$A$26,1)))/(INDEX('Shultis Faw'!$A$2:$A$26,MATCH($C671,'Shultis Faw'!$A$2:$A$26,1)+1)-INDEX('Shultis Faw'!$A$2:$A$26,MATCH($C671,'Shultis Faw'!$A$2:$A$26,1))),$C671*'Shultis Faw'!$E$2/'Shultis Faw'!$A$2)</f>
        <v>4.7927299999999999E-2</v>
      </c>
      <c r="M671" s="83">
        <f>_xlfn.IFNA(INDEX('Shultis Faw'!$F$2:$F$26,MATCH($C671,'Shultis Faw'!$A$2:$A$26,1))+($C671-INDEX('Shultis Faw'!$A$2:$A$26,MATCH($C671,'Shultis Faw'!$A$2:$A$26,1)))*(INDEX('Shultis Faw'!$F$2:$F$26,MATCH($C671,'Shultis Faw'!$A$2:$A$26,1)+1)-INDEX('Shultis Faw'!$F$2:$F$26,MATCH($C671,'Shultis Faw'!$A$2:$A$26,1)))/(INDEX('Shultis Faw'!$A$2:$A$26,MATCH($C671,'Shultis Faw'!$A$2:$A$26,1)+1)-INDEX('Shultis Faw'!$A$2:$A$26,MATCH($C671,'Shultis Faw'!$A$2:$A$26,1))),$C671*'Shultis Faw'!$F$2/'Shultis Faw'!$A$2)</f>
        <v>14.276735</v>
      </c>
      <c r="N671" s="83">
        <f>J671*(H671*'Externe blootstelling'!$D$23/2)^K671+L671*(TANH(((H671*'Externe blootstelling'!$D$23)/(2*M671))-2)-TANH(-2))/(1-TANH(-2))</f>
        <v>1.5840478975252217</v>
      </c>
      <c r="O671" s="83">
        <f>IF(N671=1,1+(I671-1)*H671*'Externe blootstelling'!$D$23/2,1+(I671-1)*(N671^(H671*'Externe blootstelling'!$D$23/2)-1)/(N671-1))</f>
        <v>2.8102635778271958</v>
      </c>
      <c r="P671" s="67">
        <f>G671*EXP(-H671*'Externe blootstelling'!$D$23/2)*O671</f>
        <v>5.5050622792698682E-6</v>
      </c>
      <c r="Q671" s="68"/>
    </row>
    <row r="672" spans="1:17" x14ac:dyDescent="0.2">
      <c r="A672" s="217"/>
      <c r="B672" s="64" t="s">
        <v>104</v>
      </c>
      <c r="C672" s="66">
        <v>0.67665999999999993</v>
      </c>
      <c r="D672" s="66">
        <f t="shared" si="43"/>
        <v>1.0826559999999997E-13</v>
      </c>
      <c r="E672" s="66">
        <v>1.7999999999999998E-4</v>
      </c>
      <c r="F672" s="66">
        <f>_xlfn.IFNA(INDEX('hp (pSv cm2)'!$B$2:$B$52,MATCH($C672,'hp (pSv cm2)'!$A$2:$A$52,1))+($C672-INDEX('hp (pSv cm2)'!$A$2:$A$52,MATCH($C672,'hp (pSv cm2)'!$A$2:$A$52,1)))*(INDEX('hp (pSv cm2)'!$B$2:$B$52,MATCH($C672,'hp (pSv cm2)'!$A$2:$A$52,1)+1)-INDEX('hp (pSv cm2)'!$B$2:$B$52,MATCH($C672,'hp (pSv cm2)'!$A$2:$A$52,1)))/(INDEX('hp (pSv cm2)'!$A$2:$A$52,MATCH($C672,'hp (pSv cm2)'!$A$2:$A$52,1)+1)-INDEX('hp (pSv cm2)'!$A$2:$A$52,MATCH($C672,'hp (pSv cm2)'!$A$2:$A$52,1))),$C672*'hp (pSv cm2)'!$B$2/'hp (pSv cm2)'!$A$2)</f>
        <v>3.2243059999999999</v>
      </c>
      <c r="G672" s="67">
        <f t="shared" si="45"/>
        <v>5.8037507999999995E-4</v>
      </c>
      <c r="H672" s="83">
        <f>_xlfn.IFNA(0.997*(INDEX('Mass attenuation coefficients'!$B$2:$B$37,MATCH($C672,'Mass attenuation coefficients'!$A$2:$A$37,1))+($C672-INDEX('Mass attenuation coefficients'!$A$2:$A$37,MATCH($C672,'Mass attenuation coefficients'!$A$2:$A$37,1)))*(INDEX('Mass attenuation coefficients'!$B$2:$B$37,MATCH($C672,'Mass attenuation coefficients'!$A$2:$A$37,1)+1)-INDEX('Mass attenuation coefficients'!$B$2:$B$37,MATCH($C672,'Mass attenuation coefficients'!$A$2:$A$37,1)))/(INDEX('Mass attenuation coefficients'!$A$2:$A$37,MATCH($C672,'Mass attenuation coefficients'!$A$2:$A$37,1)+1)-INDEX('Mass attenuation coefficients'!$A$2:$A$37,MATCH($C672,'Mass attenuation coefficients'!$A$2:$A$37,1)))),0.997*$C672*'Mass attenuation coefficients'!$B$2/'Mass attenuation coefficients'!$A$2)</f>
        <v>8.5122062408999999E-2</v>
      </c>
      <c r="I672" s="83">
        <f>_xlfn.IFNA(INDEX('Shultis Faw'!$C$2:$C$26,MATCH($C672,'Shultis Faw'!$A$2:$A$26,1))+($C672-INDEX('Shultis Faw'!$A$2:$A$26,MATCH($C672,'Shultis Faw'!$A$2:$A$26,1)))*(INDEX('Shultis Faw'!$C$2:$C$26,MATCH($C672,'Shultis Faw'!$A$2:$A$26,1)+1)-INDEX('Shultis Faw'!$C$2:$C$26,MATCH($C672,'Shultis Faw'!$A$2:$A$26,1)))/(INDEX('Shultis Faw'!$A$2:$A$26,MATCH($C672,'Shultis Faw'!$A$2:$A$26,1)+1)-INDEX('Shultis Faw'!$A$2:$A$26,MATCH($C672,'Shultis Faw'!$A$2:$A$26,1))),$C672*'Shultis Faw'!$C$2/'Shultis Faw'!$A$2)</f>
        <v>2.3137555000000001</v>
      </c>
      <c r="J672" s="83">
        <f>_xlfn.IFNA(INDEX('Shultis Faw'!$D$2:$D$26,MATCH($C672,'Shultis Faw'!$A$2:$A$26,1))+($C672-INDEX('Shultis Faw'!$A$2:$A$26,MATCH($C672,'Shultis Faw'!$A$2:$A$26,1)))*(INDEX('Shultis Faw'!$D$2:$D$26,MATCH($C672,'Shultis Faw'!$A$2:$A$26,1)+1)-INDEX('Shultis Faw'!$D$2:$D$26,MATCH($C672,'Shultis Faw'!$A$2:$A$26,1)))/(INDEX('Shultis Faw'!$A$2:$A$26,MATCH($C672,'Shultis Faw'!$A$2:$A$26,1)+1)-INDEX('Shultis Faw'!$A$2:$A$26,MATCH($C672,'Shultis Faw'!$A$2:$A$26,1))),$C672*'Shultis Faw'!$D$2/'Shultis Faw'!$A$2)</f>
        <v>1.6272545</v>
      </c>
      <c r="K672" s="83">
        <f>_xlfn.IFNA(INDEX('Shultis Faw'!$B$2:$B$26,MATCH($C672,'Shultis Faw'!$A$2:$A$26,1))+($C672-INDEX('Shultis Faw'!$A$2:$A$26,MATCH($C672,'Shultis Faw'!$A$2:$A$26,1)))*(INDEX('Shultis Faw'!$B$2:$B$26,MATCH($C672,'Shultis Faw'!$A$2:$A$26,1)+1)-INDEX('Shultis Faw'!$B$2:$B$26,MATCH($C672,'Shultis Faw'!$A$2:$A$26,1)))/(INDEX('Shultis Faw'!$A$2:$A$26,MATCH($C672,'Shultis Faw'!$A$2:$A$26,1)+1)-INDEX('Shultis Faw'!$A$2:$A$26,MATCH($C672,'Shultis Faw'!$A$2:$A$26,1))),$C672*'Shultis Faw'!$B$2/'Shultis Faw'!$A$2)</f>
        <v>-0.11671730000000001</v>
      </c>
      <c r="L672" s="83">
        <f>_xlfn.IFNA(INDEX('Shultis Faw'!$E$2:$E$26,MATCH($C672,'Shultis Faw'!$A$2:$A$26,1))+($C672-INDEX('Shultis Faw'!$A$2:$A$26,MATCH($C672,'Shultis Faw'!$A$2:$A$26,1)))*(INDEX('Shultis Faw'!$E$2:$E$26,MATCH($C672,'Shultis Faw'!$A$2:$A$26,1)+1)-INDEX('Shultis Faw'!$E$2:$E$26,MATCH($C672,'Shultis Faw'!$A$2:$A$26,1)))/(INDEX('Shultis Faw'!$A$2:$A$26,MATCH($C672,'Shultis Faw'!$A$2:$A$26,1)+1)-INDEX('Shultis Faw'!$A$2:$A$26,MATCH($C672,'Shultis Faw'!$A$2:$A$26,1))),$C672*'Shultis Faw'!$E$2/'Shultis Faw'!$A$2)</f>
        <v>4.7770220000000002E-2</v>
      </c>
      <c r="M672" s="83">
        <f>_xlfn.IFNA(INDEX('Shultis Faw'!$F$2:$F$26,MATCH($C672,'Shultis Faw'!$A$2:$A$26,1))+($C672-INDEX('Shultis Faw'!$A$2:$A$26,MATCH($C672,'Shultis Faw'!$A$2:$A$26,1)))*(INDEX('Shultis Faw'!$F$2:$F$26,MATCH($C672,'Shultis Faw'!$A$2:$A$26,1)+1)-INDEX('Shultis Faw'!$F$2:$F$26,MATCH($C672,'Shultis Faw'!$A$2:$A$26,1)))/(INDEX('Shultis Faw'!$A$2:$A$26,MATCH($C672,'Shultis Faw'!$A$2:$A$26,1)+1)-INDEX('Shultis Faw'!$A$2:$A$26,MATCH($C672,'Shultis Faw'!$A$2:$A$26,1))),$C672*'Shultis Faw'!$F$2/'Shultis Faw'!$A$2)</f>
        <v>14.279828999999999</v>
      </c>
      <c r="N672" s="83">
        <f>J672*(H672*'Externe blootstelling'!$D$23/2)^K672+L672*(TANH(((H672*'Externe blootstelling'!$D$23)/(2*M672))-2)-TANH(-2))/(1-TANH(-2))</f>
        <v>1.5816628554053616</v>
      </c>
      <c r="O672" s="83">
        <f>IF(N672=1,1+(I672-1)*H672*'Externe blootstelling'!$D$23/2,1+(I672-1)*(N672^(H672*'Externe blootstelling'!$D$23/2)-1)/(N672-1))</f>
        <v>2.7971936955564534</v>
      </c>
      <c r="P672" s="67">
        <f>G672*EXP(-H672*'Externe blootstelling'!$D$23/2)*O672</f>
        <v>4.528044302903304E-4</v>
      </c>
      <c r="Q672" s="68"/>
    </row>
    <row r="673" spans="1:17" x14ac:dyDescent="0.2">
      <c r="A673" s="217"/>
      <c r="B673" s="64" t="s">
        <v>104</v>
      </c>
      <c r="C673" s="66">
        <v>0.70810000000000006</v>
      </c>
      <c r="D673" s="66">
        <f t="shared" si="43"/>
        <v>1.1329600000000001E-13</v>
      </c>
      <c r="E673" s="66">
        <v>3.3000000000000002E-6</v>
      </c>
      <c r="F673" s="66">
        <f>_xlfn.IFNA(INDEX('hp (pSv cm2)'!$B$2:$B$52,MATCH($C673,'hp (pSv cm2)'!$A$2:$A$52,1))+($C673-INDEX('hp (pSv cm2)'!$A$2:$A$52,MATCH($C673,'hp (pSv cm2)'!$A$2:$A$52,1)))*(INDEX('hp (pSv cm2)'!$B$2:$B$52,MATCH($C673,'hp (pSv cm2)'!$A$2:$A$52,1)+1)-INDEX('hp (pSv cm2)'!$B$2:$B$52,MATCH($C673,'hp (pSv cm2)'!$A$2:$A$52,1)))/(INDEX('hp (pSv cm2)'!$A$2:$A$52,MATCH($C673,'hp (pSv cm2)'!$A$2:$A$52,1)+1)-INDEX('hp (pSv cm2)'!$A$2:$A$52,MATCH($C673,'hp (pSv cm2)'!$A$2:$A$52,1))),$C673*'hp (pSv cm2)'!$B$2/'hp (pSv cm2)'!$A$2)</f>
        <v>3.3532100000000002</v>
      </c>
      <c r="G673" s="67">
        <f t="shared" si="45"/>
        <v>1.1065593000000002E-5</v>
      </c>
      <c r="H673" s="83">
        <f>_xlfn.IFNA(0.997*(INDEX('Mass attenuation coefficients'!$B$2:$B$37,MATCH($C673,'Mass attenuation coefficients'!$A$2:$A$37,1))+($C673-INDEX('Mass attenuation coefficients'!$A$2:$A$37,MATCH($C673,'Mass attenuation coefficients'!$A$2:$A$37,1)))*(INDEX('Mass attenuation coefficients'!$B$2:$B$37,MATCH($C673,'Mass attenuation coefficients'!$A$2:$A$37,1)+1)-INDEX('Mass attenuation coefficients'!$B$2:$B$37,MATCH($C673,'Mass attenuation coefficients'!$A$2:$A$37,1)))/(INDEX('Mass attenuation coefficients'!$A$2:$A$37,MATCH($C673,'Mass attenuation coefficients'!$A$2:$A$37,1)+1)-INDEX('Mass attenuation coefficients'!$A$2:$A$37,MATCH($C673,'Mass attenuation coefficients'!$A$2:$A$37,1)))),0.997*$C673*'Mass attenuation coefficients'!$B$2/'Mass attenuation coefficients'!$A$2)</f>
        <v>8.3412155564999993E-2</v>
      </c>
      <c r="I673" s="83">
        <f>_xlfn.IFNA(INDEX('Shultis Faw'!$C$2:$C$26,MATCH($C673,'Shultis Faw'!$A$2:$A$26,1))+($C673-INDEX('Shultis Faw'!$A$2:$A$26,MATCH($C673,'Shultis Faw'!$A$2:$A$26,1)))*(INDEX('Shultis Faw'!$C$2:$C$26,MATCH($C673,'Shultis Faw'!$A$2:$A$26,1)+1)-INDEX('Shultis Faw'!$C$2:$C$26,MATCH($C673,'Shultis Faw'!$A$2:$A$26,1)))/(INDEX('Shultis Faw'!$A$2:$A$26,MATCH($C673,'Shultis Faw'!$A$2:$A$26,1)+1)-INDEX('Shultis Faw'!$A$2:$A$26,MATCH($C673,'Shultis Faw'!$A$2:$A$26,1))),$C673*'Shultis Faw'!$C$2/'Shultis Faw'!$A$2)</f>
        <v>2.2878175000000001</v>
      </c>
      <c r="J673" s="83">
        <f>_xlfn.IFNA(INDEX('Shultis Faw'!$D$2:$D$26,MATCH($C673,'Shultis Faw'!$A$2:$A$26,1))+($C673-INDEX('Shultis Faw'!$A$2:$A$26,MATCH($C673,'Shultis Faw'!$A$2:$A$26,1)))*(INDEX('Shultis Faw'!$D$2:$D$26,MATCH($C673,'Shultis Faw'!$A$2:$A$26,1)+1)-INDEX('Shultis Faw'!$D$2:$D$26,MATCH($C673,'Shultis Faw'!$A$2:$A$26,1)))/(INDEX('Shultis Faw'!$A$2:$A$26,MATCH($C673,'Shultis Faw'!$A$2:$A$26,1)+1)-INDEX('Shultis Faw'!$A$2:$A$26,MATCH($C673,'Shultis Faw'!$A$2:$A$26,1))),$C673*'Shultis Faw'!$D$2/'Shultis Faw'!$A$2)</f>
        <v>1.6060325</v>
      </c>
      <c r="K673" s="83">
        <f>_xlfn.IFNA(INDEX('Shultis Faw'!$B$2:$B$26,MATCH($C673,'Shultis Faw'!$A$2:$A$26,1))+($C673-INDEX('Shultis Faw'!$A$2:$A$26,MATCH($C673,'Shultis Faw'!$A$2:$A$26,1)))*(INDEX('Shultis Faw'!$B$2:$B$26,MATCH($C673,'Shultis Faw'!$A$2:$A$26,1)+1)-INDEX('Shultis Faw'!$B$2:$B$26,MATCH($C673,'Shultis Faw'!$A$2:$A$26,1)))/(INDEX('Shultis Faw'!$A$2:$A$26,MATCH($C673,'Shultis Faw'!$A$2:$A$26,1)+1)-INDEX('Shultis Faw'!$A$2:$A$26,MATCH($C673,'Shultis Faw'!$A$2:$A$26,1))),$C673*'Shultis Faw'!$B$2/'Shultis Faw'!$A$2)</f>
        <v>-0.1137305</v>
      </c>
      <c r="L673" s="83">
        <f>_xlfn.IFNA(INDEX('Shultis Faw'!$E$2:$E$26,MATCH($C673,'Shultis Faw'!$A$2:$A$26,1))+($C673-INDEX('Shultis Faw'!$A$2:$A$26,MATCH($C673,'Shultis Faw'!$A$2:$A$26,1)))*(INDEX('Shultis Faw'!$E$2:$E$26,MATCH($C673,'Shultis Faw'!$A$2:$A$26,1)+1)-INDEX('Shultis Faw'!$E$2:$E$26,MATCH($C673,'Shultis Faw'!$A$2:$A$26,1)))/(INDEX('Shultis Faw'!$A$2:$A$26,MATCH($C673,'Shultis Faw'!$A$2:$A$26,1)+1)-INDEX('Shultis Faw'!$A$2:$A$26,MATCH($C673,'Shultis Faw'!$A$2:$A$26,1))),$C673*'Shultis Faw'!$E$2/'Shultis Faw'!$A$2)</f>
        <v>4.6732700000000002E-2</v>
      </c>
      <c r="M673" s="83">
        <f>_xlfn.IFNA(INDEX('Shultis Faw'!$F$2:$F$26,MATCH($C673,'Shultis Faw'!$A$2:$A$26,1))+($C673-INDEX('Shultis Faw'!$A$2:$A$26,MATCH($C673,'Shultis Faw'!$A$2:$A$26,1)))*(INDEX('Shultis Faw'!$F$2:$F$26,MATCH($C673,'Shultis Faw'!$A$2:$A$26,1)+1)-INDEX('Shultis Faw'!$F$2:$F$26,MATCH($C673,'Shultis Faw'!$A$2:$A$26,1)))/(INDEX('Shultis Faw'!$A$2:$A$26,MATCH($C673,'Shultis Faw'!$A$2:$A$26,1)+1)-INDEX('Shultis Faw'!$A$2:$A$26,MATCH($C673,'Shultis Faw'!$A$2:$A$26,1))),$C673*'Shultis Faw'!$F$2/'Shultis Faw'!$A$2)</f>
        <v>14.300265</v>
      </c>
      <c r="N673" s="83">
        <f>J673*(H673*'Externe blootstelling'!$D$23/2)^K673+L673*(TANH(((H673*'Externe blootstelling'!$D$23)/(2*M673))-2)-TANH(-2))/(1-TANH(-2))</f>
        <v>1.5657789183238993</v>
      </c>
      <c r="O673" s="83">
        <f>IF(N673=1,1+(I673-1)*H673*'Externe blootstelling'!$D$23/2,1+(I673-1)*(N673^(H673*'Externe blootstelling'!$D$23/2)-1)/(N673-1))</f>
        <v>2.7126938576171025</v>
      </c>
      <c r="P673" s="67">
        <f>G673*EXP(-H673*'Externe blootstelling'!$D$23/2)*O673</f>
        <v>8.5900144274591756E-6</v>
      </c>
      <c r="Q673" s="68"/>
    </row>
    <row r="674" spans="1:17" x14ac:dyDescent="0.2">
      <c r="A674" s="217"/>
      <c r="B674" s="64" t="s">
        <v>104</v>
      </c>
      <c r="C674" s="66">
        <v>0.73270000000000002</v>
      </c>
      <c r="D674" s="66">
        <f t="shared" si="43"/>
        <v>1.1723199999999999E-13</v>
      </c>
      <c r="E674" s="66">
        <v>6.9999999999999997E-7</v>
      </c>
      <c r="F674" s="66">
        <f>_xlfn.IFNA(INDEX('hp (pSv cm2)'!$B$2:$B$52,MATCH($C674,'hp (pSv cm2)'!$A$2:$A$52,1))+($C674-INDEX('hp (pSv cm2)'!$A$2:$A$52,MATCH($C674,'hp (pSv cm2)'!$A$2:$A$52,1)))*(INDEX('hp (pSv cm2)'!$B$2:$B$52,MATCH($C674,'hp (pSv cm2)'!$A$2:$A$52,1)+1)-INDEX('hp (pSv cm2)'!$B$2:$B$52,MATCH($C674,'hp (pSv cm2)'!$A$2:$A$52,1)))/(INDEX('hp (pSv cm2)'!$A$2:$A$52,MATCH($C674,'hp (pSv cm2)'!$A$2:$A$52,1)+1)-INDEX('hp (pSv cm2)'!$A$2:$A$52,MATCH($C674,'hp (pSv cm2)'!$A$2:$A$52,1))),$C674*'hp (pSv cm2)'!$B$2/'hp (pSv cm2)'!$A$2)</f>
        <v>3.4540699999999998</v>
      </c>
      <c r="G674" s="67">
        <f t="shared" si="45"/>
        <v>2.4178489999999998E-6</v>
      </c>
      <c r="H674" s="83">
        <f>_xlfn.IFNA(0.997*(INDEX('Mass attenuation coefficients'!$B$2:$B$37,MATCH($C674,'Mass attenuation coefficients'!$A$2:$A$37,1))+($C674-INDEX('Mass attenuation coefficients'!$A$2:$A$37,MATCH($C674,'Mass attenuation coefficients'!$A$2:$A$37,1)))*(INDEX('Mass attenuation coefficients'!$B$2:$B$37,MATCH($C674,'Mass attenuation coefficients'!$A$2:$A$37,1)+1)-INDEX('Mass attenuation coefficients'!$B$2:$B$37,MATCH($C674,'Mass attenuation coefficients'!$A$2:$A$37,1)))/(INDEX('Mass attenuation coefficients'!$A$2:$A$37,MATCH($C674,'Mass attenuation coefficients'!$A$2:$A$37,1)+1)-INDEX('Mass attenuation coefficients'!$A$2:$A$37,MATCH($C674,'Mass attenuation coefficients'!$A$2:$A$37,1)))),0.997*$C674*'Mass attenuation coefficients'!$B$2/'Mass attenuation coefficients'!$A$2)</f>
        <v>8.2074251355000002E-2</v>
      </c>
      <c r="I674" s="83">
        <f>_xlfn.IFNA(INDEX('Shultis Faw'!$C$2:$C$26,MATCH($C674,'Shultis Faw'!$A$2:$A$26,1))+($C674-INDEX('Shultis Faw'!$A$2:$A$26,MATCH($C674,'Shultis Faw'!$A$2:$A$26,1)))*(INDEX('Shultis Faw'!$C$2:$C$26,MATCH($C674,'Shultis Faw'!$A$2:$A$26,1)+1)-INDEX('Shultis Faw'!$C$2:$C$26,MATCH($C674,'Shultis Faw'!$A$2:$A$26,1)))/(INDEX('Shultis Faw'!$A$2:$A$26,MATCH($C674,'Shultis Faw'!$A$2:$A$26,1)+1)-INDEX('Shultis Faw'!$A$2:$A$26,MATCH($C674,'Shultis Faw'!$A$2:$A$26,1))),$C674*'Shultis Faw'!$C$2/'Shultis Faw'!$A$2)</f>
        <v>2.2675225000000001</v>
      </c>
      <c r="J674" s="83">
        <f>_xlfn.IFNA(INDEX('Shultis Faw'!$D$2:$D$26,MATCH($C674,'Shultis Faw'!$A$2:$A$26,1))+($C674-INDEX('Shultis Faw'!$A$2:$A$26,MATCH($C674,'Shultis Faw'!$A$2:$A$26,1)))*(INDEX('Shultis Faw'!$D$2:$D$26,MATCH($C674,'Shultis Faw'!$A$2:$A$26,1)+1)-INDEX('Shultis Faw'!$D$2:$D$26,MATCH($C674,'Shultis Faw'!$A$2:$A$26,1)))/(INDEX('Shultis Faw'!$A$2:$A$26,MATCH($C674,'Shultis Faw'!$A$2:$A$26,1)+1)-INDEX('Shultis Faw'!$A$2:$A$26,MATCH($C674,'Shultis Faw'!$A$2:$A$26,1))),$C674*'Shultis Faw'!$D$2/'Shultis Faw'!$A$2)</f>
        <v>1.5894275</v>
      </c>
      <c r="K674" s="83">
        <f>_xlfn.IFNA(INDEX('Shultis Faw'!$B$2:$B$26,MATCH($C674,'Shultis Faw'!$A$2:$A$26,1))+($C674-INDEX('Shultis Faw'!$A$2:$A$26,MATCH($C674,'Shultis Faw'!$A$2:$A$26,1)))*(INDEX('Shultis Faw'!$B$2:$B$26,MATCH($C674,'Shultis Faw'!$A$2:$A$26,1)+1)-INDEX('Shultis Faw'!$B$2:$B$26,MATCH($C674,'Shultis Faw'!$A$2:$A$26,1)))/(INDEX('Shultis Faw'!$A$2:$A$26,MATCH($C674,'Shultis Faw'!$A$2:$A$26,1)+1)-INDEX('Shultis Faw'!$A$2:$A$26,MATCH($C674,'Shultis Faw'!$A$2:$A$26,1))),$C674*'Shultis Faw'!$B$2/'Shultis Faw'!$A$2)</f>
        <v>-0.11139349999999999</v>
      </c>
      <c r="L674" s="83">
        <f>_xlfn.IFNA(INDEX('Shultis Faw'!$E$2:$E$26,MATCH($C674,'Shultis Faw'!$A$2:$A$26,1))+($C674-INDEX('Shultis Faw'!$A$2:$A$26,MATCH($C674,'Shultis Faw'!$A$2:$A$26,1)))*(INDEX('Shultis Faw'!$E$2:$E$26,MATCH($C674,'Shultis Faw'!$A$2:$A$26,1)+1)-INDEX('Shultis Faw'!$E$2:$E$26,MATCH($C674,'Shultis Faw'!$A$2:$A$26,1)))/(INDEX('Shultis Faw'!$A$2:$A$26,MATCH($C674,'Shultis Faw'!$A$2:$A$26,1)+1)-INDEX('Shultis Faw'!$A$2:$A$26,MATCH($C674,'Shultis Faw'!$A$2:$A$26,1))),$C674*'Shultis Faw'!$E$2/'Shultis Faw'!$A$2)</f>
        <v>4.5920900000000001E-2</v>
      </c>
      <c r="M674" s="83">
        <f>_xlfn.IFNA(INDEX('Shultis Faw'!$F$2:$F$26,MATCH($C674,'Shultis Faw'!$A$2:$A$26,1))+($C674-INDEX('Shultis Faw'!$A$2:$A$26,MATCH($C674,'Shultis Faw'!$A$2:$A$26,1)))*(INDEX('Shultis Faw'!$F$2:$F$26,MATCH($C674,'Shultis Faw'!$A$2:$A$26,1)+1)-INDEX('Shultis Faw'!$F$2:$F$26,MATCH($C674,'Shultis Faw'!$A$2:$A$26,1)))/(INDEX('Shultis Faw'!$A$2:$A$26,MATCH($C674,'Shultis Faw'!$A$2:$A$26,1)+1)-INDEX('Shultis Faw'!$A$2:$A$26,MATCH($C674,'Shultis Faw'!$A$2:$A$26,1))),$C674*'Shultis Faw'!$F$2/'Shultis Faw'!$A$2)</f>
        <v>14.316255</v>
      </c>
      <c r="N674" s="83">
        <f>J674*(H674*'Externe blootstelling'!$D$23/2)^K674+L674*(TANH(((H674*'Externe blootstelling'!$D$23)/(2*M674))-2)-TANH(-2))/(1-TANH(-2))</f>
        <v>1.5531925113562881</v>
      </c>
      <c r="O674" s="83">
        <f>IF(N674=1,1+(I674-1)*H674*'Externe blootstelling'!$D$23/2,1+(I674-1)*(N674^(H674*'Externe blootstelling'!$D$23/2)-1)/(N674-1))</f>
        <v>2.6487430295864951</v>
      </c>
      <c r="P674" s="67">
        <f>G674*EXP(-H674*'Externe blootstelling'!$D$23/2)*O674</f>
        <v>1.8698341379028648E-6</v>
      </c>
      <c r="Q674" s="68"/>
    </row>
    <row r="675" spans="1:17" x14ac:dyDescent="0.2">
      <c r="A675" s="217"/>
      <c r="B675" s="64" t="s">
        <v>104</v>
      </c>
      <c r="C675" s="66">
        <v>0.80249999999999999</v>
      </c>
      <c r="D675" s="66">
        <f t="shared" si="43"/>
        <v>1.2839999999999999E-13</v>
      </c>
      <c r="E675" s="66">
        <v>3.3000000000000002E-6</v>
      </c>
      <c r="F675" s="66">
        <f>_xlfn.IFNA(INDEX('hp (pSv cm2)'!$B$2:$B$52,MATCH($C675,'hp (pSv cm2)'!$A$2:$A$52,1))+($C675-INDEX('hp (pSv cm2)'!$A$2:$A$52,MATCH($C675,'hp (pSv cm2)'!$A$2:$A$52,1)))*(INDEX('hp (pSv cm2)'!$B$2:$B$52,MATCH($C675,'hp (pSv cm2)'!$A$2:$A$52,1)+1)-INDEX('hp (pSv cm2)'!$B$2:$B$52,MATCH($C675,'hp (pSv cm2)'!$A$2:$A$52,1)))/(INDEX('hp (pSv cm2)'!$A$2:$A$52,MATCH($C675,'hp (pSv cm2)'!$A$2:$A$52,1)+1)-INDEX('hp (pSv cm2)'!$A$2:$A$52,MATCH($C675,'hp (pSv cm2)'!$A$2:$A$52,1))),$C675*'hp (pSv cm2)'!$B$2/'hp (pSv cm2)'!$A$2)</f>
        <v>3.7394999999999996</v>
      </c>
      <c r="G675" s="67">
        <f t="shared" si="45"/>
        <v>1.234035E-5</v>
      </c>
      <c r="H675" s="83">
        <f>_xlfn.IFNA(0.997*(INDEX('Mass attenuation coefficients'!$B$2:$B$37,MATCH($C675,'Mass attenuation coefficients'!$A$2:$A$37,1))+($C675-INDEX('Mass attenuation coefficients'!$A$2:$A$37,MATCH($C675,'Mass attenuation coefficients'!$A$2:$A$37,1)))*(INDEX('Mass attenuation coefficients'!$B$2:$B$37,MATCH($C675,'Mass attenuation coefficients'!$A$2:$A$37,1)+1)-INDEX('Mass attenuation coefficients'!$B$2:$B$37,MATCH($C675,'Mass attenuation coefficients'!$A$2:$A$37,1)))/(INDEX('Mass attenuation coefficients'!$A$2:$A$37,MATCH($C675,'Mass attenuation coefficients'!$A$2:$A$37,1)+1)-INDEX('Mass attenuation coefficients'!$A$2:$A$37,MATCH($C675,'Mass attenuation coefficients'!$A$2:$A$37,1)))),0.997*$C675*'Mass attenuation coefficients'!$B$2/'Mass attenuation coefficients'!$A$2)</f>
        <v>7.8315222375000007E-2</v>
      </c>
      <c r="I675" s="83">
        <f>_xlfn.IFNA(INDEX('Shultis Faw'!$C$2:$C$26,MATCH($C675,'Shultis Faw'!$A$2:$A$26,1))+($C675-INDEX('Shultis Faw'!$A$2:$A$26,MATCH($C675,'Shultis Faw'!$A$2:$A$26,1)))*(INDEX('Shultis Faw'!$C$2:$C$26,MATCH($C675,'Shultis Faw'!$A$2:$A$26,1)+1)-INDEX('Shultis Faw'!$C$2:$C$26,MATCH($C675,'Shultis Faw'!$A$2:$A$26,1)))/(INDEX('Shultis Faw'!$A$2:$A$26,MATCH($C675,'Shultis Faw'!$A$2:$A$26,1)+1)-INDEX('Shultis Faw'!$A$2:$A$26,MATCH($C675,'Shultis Faw'!$A$2:$A$26,1))),$C675*'Shultis Faw'!$C$2/'Shultis Faw'!$A$2)</f>
        <v>2.2106375000000003</v>
      </c>
      <c r="J675" s="83">
        <f>_xlfn.IFNA(INDEX('Shultis Faw'!$D$2:$D$26,MATCH($C675,'Shultis Faw'!$A$2:$A$26,1))+($C675-INDEX('Shultis Faw'!$A$2:$A$26,MATCH($C675,'Shultis Faw'!$A$2:$A$26,1)))*(INDEX('Shultis Faw'!$D$2:$D$26,MATCH($C675,'Shultis Faw'!$A$2:$A$26,1)+1)-INDEX('Shultis Faw'!$D$2:$D$26,MATCH($C675,'Shultis Faw'!$A$2:$A$26,1)))/(INDEX('Shultis Faw'!$A$2:$A$26,MATCH($C675,'Shultis Faw'!$A$2:$A$26,1)+1)-INDEX('Shultis Faw'!$A$2:$A$26,MATCH($C675,'Shultis Faw'!$A$2:$A$26,1))),$C675*'Shultis Faw'!$D$2/'Shultis Faw'!$A$2)</f>
        <v>1.5427125000000002</v>
      </c>
      <c r="K675" s="83">
        <f>_xlfn.IFNA(INDEX('Shultis Faw'!$B$2:$B$26,MATCH($C675,'Shultis Faw'!$A$2:$A$26,1))+($C675-INDEX('Shultis Faw'!$A$2:$A$26,MATCH($C675,'Shultis Faw'!$A$2:$A$26,1)))*(INDEX('Shultis Faw'!$B$2:$B$26,MATCH($C675,'Shultis Faw'!$A$2:$A$26,1)+1)-INDEX('Shultis Faw'!$B$2:$B$26,MATCH($C675,'Shultis Faw'!$A$2:$A$26,1)))/(INDEX('Shultis Faw'!$A$2:$A$26,MATCH($C675,'Shultis Faw'!$A$2:$A$26,1)+1)-INDEX('Shultis Faw'!$A$2:$A$26,MATCH($C675,'Shultis Faw'!$A$2:$A$26,1))),$C675*'Shultis Faw'!$B$2/'Shultis Faw'!$A$2)</f>
        <v>-0.1048</v>
      </c>
      <c r="L675" s="83">
        <f>_xlfn.IFNA(INDEX('Shultis Faw'!$E$2:$E$26,MATCH($C675,'Shultis Faw'!$A$2:$A$26,1))+($C675-INDEX('Shultis Faw'!$A$2:$A$26,MATCH($C675,'Shultis Faw'!$A$2:$A$26,1)))*(INDEX('Shultis Faw'!$E$2:$E$26,MATCH($C675,'Shultis Faw'!$A$2:$A$26,1)+1)-INDEX('Shultis Faw'!$E$2:$E$26,MATCH($C675,'Shultis Faw'!$A$2:$A$26,1)))/(INDEX('Shultis Faw'!$A$2:$A$26,MATCH($C675,'Shultis Faw'!$A$2:$A$26,1)+1)-INDEX('Shultis Faw'!$A$2:$A$26,MATCH($C675,'Shultis Faw'!$A$2:$A$26,1))),$C675*'Shultis Faw'!$E$2/'Shultis Faw'!$A$2)</f>
        <v>4.3626250000000005E-2</v>
      </c>
      <c r="M675" s="83">
        <f>_xlfn.IFNA(INDEX('Shultis Faw'!$F$2:$F$26,MATCH($C675,'Shultis Faw'!$A$2:$A$26,1))+($C675-INDEX('Shultis Faw'!$A$2:$A$26,MATCH($C675,'Shultis Faw'!$A$2:$A$26,1)))*(INDEX('Shultis Faw'!$F$2:$F$26,MATCH($C675,'Shultis Faw'!$A$2:$A$26,1)+1)-INDEX('Shultis Faw'!$F$2:$F$26,MATCH($C675,'Shultis Faw'!$A$2:$A$26,1)))/(INDEX('Shultis Faw'!$A$2:$A$26,MATCH($C675,'Shultis Faw'!$A$2:$A$26,1)+1)-INDEX('Shultis Faw'!$A$2:$A$26,MATCH($C675,'Shultis Faw'!$A$2:$A$26,1))),$C675*'Shultis Faw'!$F$2/'Shultis Faw'!$A$2)</f>
        <v>14.35825</v>
      </c>
      <c r="N675" s="83">
        <f>J675*(H675*'Externe blootstelling'!$D$23/2)^K675+L675*(TANH(((H675*'Externe blootstelling'!$D$23)/(2*M675))-2)-TANH(-2))/(1-TANH(-2))</f>
        <v>1.5170341743527418</v>
      </c>
      <c r="O675" s="83">
        <f>IF(N675=1,1+(I675-1)*H675*'Externe blootstelling'!$D$23/2,1+(I675-1)*(N675^(H675*'Externe blootstelling'!$D$23/2)-1)/(N675-1))</f>
        <v>2.4789526389355419</v>
      </c>
      <c r="P675" s="67">
        <f>G675*EXP(-H675*'Externe blootstelling'!$D$23/2)*O675</f>
        <v>9.4496924259794745E-6</v>
      </c>
      <c r="Q675" s="68"/>
    </row>
    <row r="676" spans="1:17" x14ac:dyDescent="0.2">
      <c r="A676" s="217"/>
      <c r="B676" s="64" t="s">
        <v>104</v>
      </c>
      <c r="C676" s="66">
        <v>0.83532000000000006</v>
      </c>
      <c r="D676" s="66">
        <f t="shared" si="43"/>
        <v>1.336512E-13</v>
      </c>
      <c r="E676" s="66">
        <v>1.7E-5</v>
      </c>
      <c r="F676" s="66">
        <f>_xlfn.IFNA(INDEX('hp (pSv cm2)'!$B$2:$B$52,MATCH($C676,'hp (pSv cm2)'!$A$2:$A$52,1))+($C676-INDEX('hp (pSv cm2)'!$A$2:$A$52,MATCH($C676,'hp (pSv cm2)'!$A$2:$A$52,1)))*(INDEX('hp (pSv cm2)'!$B$2:$B$52,MATCH($C676,'hp (pSv cm2)'!$A$2:$A$52,1)+1)-INDEX('hp (pSv cm2)'!$B$2:$B$52,MATCH($C676,'hp (pSv cm2)'!$A$2:$A$52,1)))/(INDEX('hp (pSv cm2)'!$A$2:$A$52,MATCH($C676,'hp (pSv cm2)'!$A$2:$A$52,1)+1)-INDEX('hp (pSv cm2)'!$A$2:$A$52,MATCH($C676,'hp (pSv cm2)'!$A$2:$A$52,1))),$C676*'hp (pSv cm2)'!$B$2/'hp (pSv cm2)'!$A$2)</f>
        <v>3.8642160000000003</v>
      </c>
      <c r="G676" s="67">
        <f t="shared" si="45"/>
        <v>6.5691672000000003E-5</v>
      </c>
      <c r="H676" s="83">
        <f>_xlfn.IFNA(0.997*(INDEX('Mass attenuation coefficients'!$B$2:$B$37,MATCH($C676,'Mass attenuation coefficients'!$A$2:$A$37,1))+($C676-INDEX('Mass attenuation coefficients'!$A$2:$A$37,MATCH($C676,'Mass attenuation coefficients'!$A$2:$A$37,1)))*(INDEX('Mass attenuation coefficients'!$B$2:$B$37,MATCH($C676,'Mass attenuation coefficients'!$A$2:$A$37,1)+1)-INDEX('Mass attenuation coefficients'!$B$2:$B$37,MATCH($C676,'Mass attenuation coefficients'!$A$2:$A$37,1)))/(INDEX('Mass attenuation coefficients'!$A$2:$A$37,MATCH($C676,'Mass attenuation coefficients'!$A$2:$A$37,1)+1)-INDEX('Mass attenuation coefficients'!$A$2:$A$37,MATCH($C676,'Mass attenuation coefficients'!$A$2:$A$37,1)))),0.997*$C676*'Mass attenuation coefficients'!$B$2/'Mass attenuation coefficients'!$A$2)</f>
        <v>7.7017813313999997E-2</v>
      </c>
      <c r="I676" s="83">
        <f>_xlfn.IFNA(INDEX('Shultis Faw'!$C$2:$C$26,MATCH($C676,'Shultis Faw'!$A$2:$A$26,1))+($C676-INDEX('Shultis Faw'!$A$2:$A$26,MATCH($C676,'Shultis Faw'!$A$2:$A$26,1)))*(INDEX('Shultis Faw'!$C$2:$C$26,MATCH($C676,'Shultis Faw'!$A$2:$A$26,1)+1)-INDEX('Shultis Faw'!$C$2:$C$26,MATCH($C676,'Shultis Faw'!$A$2:$A$26,1)))/(INDEX('Shultis Faw'!$A$2:$A$26,MATCH($C676,'Shultis Faw'!$A$2:$A$26,1)+1)-INDEX('Shultis Faw'!$A$2:$A$26,MATCH($C676,'Shultis Faw'!$A$2:$A$26,1))),$C676*'Shultis Faw'!$C$2/'Shultis Faw'!$A$2)</f>
        <v>2.1927506000000001</v>
      </c>
      <c r="J676" s="83">
        <f>_xlfn.IFNA(INDEX('Shultis Faw'!$D$2:$D$26,MATCH($C676,'Shultis Faw'!$A$2:$A$26,1))+($C676-INDEX('Shultis Faw'!$A$2:$A$26,MATCH($C676,'Shultis Faw'!$A$2:$A$26,1)))*(INDEX('Shultis Faw'!$D$2:$D$26,MATCH($C676,'Shultis Faw'!$A$2:$A$26,1)+1)-INDEX('Shultis Faw'!$D$2:$D$26,MATCH($C676,'Shultis Faw'!$A$2:$A$26,1)))/(INDEX('Shultis Faw'!$A$2:$A$26,MATCH($C676,'Shultis Faw'!$A$2:$A$26,1)+1)-INDEX('Shultis Faw'!$A$2:$A$26,MATCH($C676,'Shultis Faw'!$A$2:$A$26,1))),$C676*'Shultis Faw'!$D$2/'Shultis Faw'!$A$2)</f>
        <v>1.5258102</v>
      </c>
      <c r="K676" s="83">
        <f>_xlfn.IFNA(INDEX('Shultis Faw'!$B$2:$B$26,MATCH($C676,'Shultis Faw'!$A$2:$A$26,1))+($C676-INDEX('Shultis Faw'!$A$2:$A$26,MATCH($C676,'Shultis Faw'!$A$2:$A$26,1)))*(INDEX('Shultis Faw'!$B$2:$B$26,MATCH($C676,'Shultis Faw'!$A$2:$A$26,1)+1)-INDEX('Shultis Faw'!$B$2:$B$26,MATCH($C676,'Shultis Faw'!$A$2:$A$26,1)))/(INDEX('Shultis Faw'!$A$2:$A$26,MATCH($C676,'Shultis Faw'!$A$2:$A$26,1)+1)-INDEX('Shultis Faw'!$A$2:$A$26,MATCH($C676,'Shultis Faw'!$A$2:$A$26,1))),$C676*'Shultis Faw'!$B$2/'Shultis Faw'!$A$2)</f>
        <v>-0.1021744</v>
      </c>
      <c r="L676" s="83">
        <f>_xlfn.IFNA(INDEX('Shultis Faw'!$E$2:$E$26,MATCH($C676,'Shultis Faw'!$A$2:$A$26,1))+($C676-INDEX('Shultis Faw'!$A$2:$A$26,MATCH($C676,'Shultis Faw'!$A$2:$A$26,1)))*(INDEX('Shultis Faw'!$E$2:$E$26,MATCH($C676,'Shultis Faw'!$A$2:$A$26,1)+1)-INDEX('Shultis Faw'!$E$2:$E$26,MATCH($C676,'Shultis Faw'!$A$2:$A$26,1)))/(INDEX('Shultis Faw'!$A$2:$A$26,MATCH($C676,'Shultis Faw'!$A$2:$A$26,1)+1)-INDEX('Shultis Faw'!$A$2:$A$26,MATCH($C676,'Shultis Faw'!$A$2:$A$26,1))),$C676*'Shultis Faw'!$E$2/'Shultis Faw'!$A$2)</f>
        <v>4.2658060000000005E-2</v>
      </c>
      <c r="M676" s="83">
        <f>_xlfn.IFNA(INDEX('Shultis Faw'!$F$2:$F$26,MATCH($C676,'Shultis Faw'!$A$2:$A$26,1))+($C676-INDEX('Shultis Faw'!$A$2:$A$26,MATCH($C676,'Shultis Faw'!$A$2:$A$26,1)))*(INDEX('Shultis Faw'!$F$2:$F$26,MATCH($C676,'Shultis Faw'!$A$2:$A$26,1)+1)-INDEX('Shultis Faw'!$F$2:$F$26,MATCH($C676,'Shultis Faw'!$A$2:$A$26,1)))/(INDEX('Shultis Faw'!$A$2:$A$26,MATCH($C676,'Shultis Faw'!$A$2:$A$26,1)+1)-INDEX('Shultis Faw'!$A$2:$A$26,MATCH($C676,'Shultis Faw'!$A$2:$A$26,1))),$C676*'Shultis Faw'!$F$2/'Shultis Faw'!$A$2)</f>
        <v>14.335276</v>
      </c>
      <c r="N676" s="83">
        <f>J676*(H676*'Externe blootstelling'!$D$23/2)^K676+L676*(TANH(((H676*'Externe blootstelling'!$D$23)/(2*M676))-2)-TANH(-2))/(1-TANH(-2))</f>
        <v>1.5036079435473546</v>
      </c>
      <c r="O676" s="83">
        <f>IF(N676=1,1+(I676-1)*H676*'Externe blootstelling'!$D$23/2,1+(I676-1)*(N676^(H676*'Externe blootstelling'!$D$23/2)-1)/(N676-1))</f>
        <v>2.4255676000597086</v>
      </c>
      <c r="P676" s="67">
        <f>G676*EXP(-H676*'Externe blootstelling'!$D$23/2)*O676</f>
        <v>5.0187727195802292E-5</v>
      </c>
      <c r="Q676" s="68"/>
    </row>
    <row r="677" spans="1:17" x14ac:dyDescent="0.2">
      <c r="A677" s="217"/>
      <c r="B677" s="64" t="s">
        <v>104</v>
      </c>
      <c r="C677" s="66">
        <v>0.87720000000000009</v>
      </c>
      <c r="D677" s="66">
        <f t="shared" si="43"/>
        <v>1.4035200000000002E-13</v>
      </c>
      <c r="E677" s="66">
        <v>3.3000000000000002E-6</v>
      </c>
      <c r="F677" s="66">
        <f>_xlfn.IFNA(INDEX('hp (pSv cm2)'!$B$2:$B$52,MATCH($C677,'hp (pSv cm2)'!$A$2:$A$52,1))+($C677-INDEX('hp (pSv cm2)'!$A$2:$A$52,MATCH($C677,'hp (pSv cm2)'!$A$2:$A$52,1)))*(INDEX('hp (pSv cm2)'!$B$2:$B$52,MATCH($C677,'hp (pSv cm2)'!$A$2:$A$52,1)+1)-INDEX('hp (pSv cm2)'!$B$2:$B$52,MATCH($C677,'hp (pSv cm2)'!$A$2:$A$52,1)))/(INDEX('hp (pSv cm2)'!$A$2:$A$52,MATCH($C677,'hp (pSv cm2)'!$A$2:$A$52,1)+1)-INDEX('hp (pSv cm2)'!$A$2:$A$52,MATCH($C677,'hp (pSv cm2)'!$A$2:$A$52,1))),$C677*'hp (pSv cm2)'!$B$2/'hp (pSv cm2)'!$A$2)</f>
        <v>4.0233600000000003</v>
      </c>
      <c r="G677" s="67">
        <f t="shared" si="45"/>
        <v>1.3277088000000001E-5</v>
      </c>
      <c r="H677" s="83">
        <f>_xlfn.IFNA(0.997*(INDEX('Mass attenuation coefficients'!$B$2:$B$37,MATCH($C677,'Mass attenuation coefficients'!$A$2:$A$37,1))+($C677-INDEX('Mass attenuation coefficients'!$A$2:$A$37,MATCH($C677,'Mass attenuation coefficients'!$A$2:$A$37,1)))*(INDEX('Mass attenuation coefficients'!$B$2:$B$37,MATCH($C677,'Mass attenuation coefficients'!$A$2:$A$37,1)+1)-INDEX('Mass attenuation coefficients'!$B$2:$B$37,MATCH($C677,'Mass attenuation coefficients'!$A$2:$A$37,1)))/(INDEX('Mass attenuation coefficients'!$A$2:$A$37,MATCH($C677,'Mass attenuation coefficients'!$A$2:$A$37,1)+1)-INDEX('Mass attenuation coefficients'!$A$2:$A$37,MATCH($C677,'Mass attenuation coefficients'!$A$2:$A$37,1)))),0.997*$C677*'Mass attenuation coefficients'!$B$2/'Mass attenuation coefficients'!$A$2)</f>
        <v>7.5362252939999999E-2</v>
      </c>
      <c r="I677" s="83">
        <f>_xlfn.IFNA(INDEX('Shultis Faw'!$C$2:$C$26,MATCH($C677,'Shultis Faw'!$A$2:$A$26,1))+($C677-INDEX('Shultis Faw'!$A$2:$A$26,MATCH($C677,'Shultis Faw'!$A$2:$A$26,1)))*(INDEX('Shultis Faw'!$C$2:$C$26,MATCH($C677,'Shultis Faw'!$A$2:$A$26,1)+1)-INDEX('Shultis Faw'!$C$2:$C$26,MATCH($C677,'Shultis Faw'!$A$2:$A$26,1)))/(INDEX('Shultis Faw'!$A$2:$A$26,MATCH($C677,'Shultis Faw'!$A$2:$A$26,1)+1)-INDEX('Shultis Faw'!$A$2:$A$26,MATCH($C677,'Shultis Faw'!$A$2:$A$26,1))),$C677*'Shultis Faw'!$C$2/'Shultis Faw'!$A$2)</f>
        <v>2.1699260000000002</v>
      </c>
      <c r="J677" s="83">
        <f>_xlfn.IFNA(INDEX('Shultis Faw'!$D$2:$D$26,MATCH($C677,'Shultis Faw'!$A$2:$A$26,1))+($C677-INDEX('Shultis Faw'!$A$2:$A$26,MATCH($C677,'Shultis Faw'!$A$2:$A$26,1)))*(INDEX('Shultis Faw'!$D$2:$D$26,MATCH($C677,'Shultis Faw'!$A$2:$A$26,1)+1)-INDEX('Shultis Faw'!$D$2:$D$26,MATCH($C677,'Shultis Faw'!$A$2:$A$26,1)))/(INDEX('Shultis Faw'!$A$2:$A$26,MATCH($C677,'Shultis Faw'!$A$2:$A$26,1)+1)-INDEX('Shultis Faw'!$A$2:$A$26,MATCH($C677,'Shultis Faw'!$A$2:$A$26,1))),$C677*'Shultis Faw'!$D$2/'Shultis Faw'!$A$2)</f>
        <v>1.5042420000000001</v>
      </c>
      <c r="K677" s="83">
        <f>_xlfn.IFNA(INDEX('Shultis Faw'!$B$2:$B$26,MATCH($C677,'Shultis Faw'!$A$2:$A$26,1))+($C677-INDEX('Shultis Faw'!$A$2:$A$26,MATCH($C677,'Shultis Faw'!$A$2:$A$26,1)))*(INDEX('Shultis Faw'!$B$2:$B$26,MATCH($C677,'Shultis Faw'!$A$2:$A$26,1)+1)-INDEX('Shultis Faw'!$B$2:$B$26,MATCH($C677,'Shultis Faw'!$A$2:$A$26,1)))/(INDEX('Shultis Faw'!$A$2:$A$26,MATCH($C677,'Shultis Faw'!$A$2:$A$26,1)+1)-INDEX('Shultis Faw'!$A$2:$A$26,MATCH($C677,'Shultis Faw'!$A$2:$A$26,1))),$C677*'Shultis Faw'!$B$2/'Shultis Faw'!$A$2)</f>
        <v>-9.8823999999999995E-2</v>
      </c>
      <c r="L677" s="83">
        <f>_xlfn.IFNA(INDEX('Shultis Faw'!$E$2:$E$26,MATCH($C677,'Shultis Faw'!$A$2:$A$26,1))+($C677-INDEX('Shultis Faw'!$A$2:$A$26,MATCH($C677,'Shultis Faw'!$A$2:$A$26,1)))*(INDEX('Shultis Faw'!$E$2:$E$26,MATCH($C677,'Shultis Faw'!$A$2:$A$26,1)+1)-INDEX('Shultis Faw'!$E$2:$E$26,MATCH($C677,'Shultis Faw'!$A$2:$A$26,1)))/(INDEX('Shultis Faw'!$A$2:$A$26,MATCH($C677,'Shultis Faw'!$A$2:$A$26,1)+1)-INDEX('Shultis Faw'!$A$2:$A$26,MATCH($C677,'Shultis Faw'!$A$2:$A$26,1))),$C677*'Shultis Faw'!$E$2/'Shultis Faw'!$A$2)</f>
        <v>4.1422599999999997E-2</v>
      </c>
      <c r="M677" s="83">
        <f>_xlfn.IFNA(INDEX('Shultis Faw'!$F$2:$F$26,MATCH($C677,'Shultis Faw'!$A$2:$A$26,1))+($C677-INDEX('Shultis Faw'!$A$2:$A$26,MATCH($C677,'Shultis Faw'!$A$2:$A$26,1)))*(INDEX('Shultis Faw'!$F$2:$F$26,MATCH($C677,'Shultis Faw'!$A$2:$A$26,1)+1)-INDEX('Shultis Faw'!$F$2:$F$26,MATCH($C677,'Shultis Faw'!$A$2:$A$26,1)))/(INDEX('Shultis Faw'!$A$2:$A$26,MATCH($C677,'Shultis Faw'!$A$2:$A$26,1)+1)-INDEX('Shultis Faw'!$A$2:$A$26,MATCH($C677,'Shultis Faw'!$A$2:$A$26,1))),$C677*'Shultis Faw'!$F$2/'Shultis Faw'!$A$2)</f>
        <v>14.305960000000001</v>
      </c>
      <c r="N677" s="83">
        <f>J677*(H677*'Externe blootstelling'!$D$23/2)^K677+L677*(TANH(((H677*'Externe blootstelling'!$D$23)/(2*M677))-2)-TANH(-2))/(1-TANH(-2))</f>
        <v>1.486253785534698</v>
      </c>
      <c r="O677" s="83">
        <f>IF(N677=1,1+(I677-1)*H677*'Externe blootstelling'!$D$23/2,1+(I677-1)*(N677^(H677*'Externe blootstelling'!$D$23/2)-1)/(N677-1))</f>
        <v>2.3596092733556597</v>
      </c>
      <c r="P677" s="67">
        <f>G677*EXP(-H677*'Externe blootstelling'!$D$23/2)*O677</f>
        <v>1.0115835749667982E-5</v>
      </c>
      <c r="Q677" s="68"/>
    </row>
    <row r="678" spans="1:17" x14ac:dyDescent="0.2">
      <c r="A678" s="217"/>
      <c r="B678" s="64" t="s">
        <v>104</v>
      </c>
      <c r="C678" s="66">
        <v>0.8911</v>
      </c>
      <c r="D678" s="66">
        <f t="shared" si="43"/>
        <v>1.42576E-13</v>
      </c>
      <c r="E678" s="66">
        <v>9.0000000000000002E-6</v>
      </c>
      <c r="F678" s="66">
        <f>_xlfn.IFNA(INDEX('hp (pSv cm2)'!$B$2:$B$52,MATCH($C678,'hp (pSv cm2)'!$A$2:$A$52,1))+($C678-INDEX('hp (pSv cm2)'!$A$2:$A$52,MATCH($C678,'hp (pSv cm2)'!$A$2:$A$52,1)))*(INDEX('hp (pSv cm2)'!$B$2:$B$52,MATCH($C678,'hp (pSv cm2)'!$A$2:$A$52,1)+1)-INDEX('hp (pSv cm2)'!$B$2:$B$52,MATCH($C678,'hp (pSv cm2)'!$A$2:$A$52,1)))/(INDEX('hp (pSv cm2)'!$A$2:$A$52,MATCH($C678,'hp (pSv cm2)'!$A$2:$A$52,1)+1)-INDEX('hp (pSv cm2)'!$A$2:$A$52,MATCH($C678,'hp (pSv cm2)'!$A$2:$A$52,1))),$C678*'hp (pSv cm2)'!$B$2/'hp (pSv cm2)'!$A$2)</f>
        <v>4.0761799999999999</v>
      </c>
      <c r="G678" s="67">
        <f t="shared" si="45"/>
        <v>3.6685620000000001E-5</v>
      </c>
      <c r="H678" s="83">
        <f>_xlfn.IFNA(0.997*(INDEX('Mass attenuation coefficients'!$B$2:$B$37,MATCH($C678,'Mass attenuation coefficients'!$A$2:$A$37,1))+($C678-INDEX('Mass attenuation coefficients'!$A$2:$A$37,MATCH($C678,'Mass attenuation coefficients'!$A$2:$A$37,1)))*(INDEX('Mass attenuation coefficients'!$B$2:$B$37,MATCH($C678,'Mass attenuation coefficients'!$A$2:$A$37,1)+1)-INDEX('Mass attenuation coefficients'!$B$2:$B$37,MATCH($C678,'Mass attenuation coefficients'!$A$2:$A$37,1)))/(INDEX('Mass attenuation coefficients'!$A$2:$A$37,MATCH($C678,'Mass attenuation coefficients'!$A$2:$A$37,1)+1)-INDEX('Mass attenuation coefficients'!$A$2:$A$37,MATCH($C678,'Mass attenuation coefficients'!$A$2:$A$37,1)))),0.997*$C678*'Mass attenuation coefficients'!$B$2/'Mass attenuation coefficients'!$A$2)</f>
        <v>7.4812771345000001E-2</v>
      </c>
      <c r="I678" s="83">
        <f>_xlfn.IFNA(INDEX('Shultis Faw'!$C$2:$C$26,MATCH($C678,'Shultis Faw'!$A$2:$A$26,1))+($C678-INDEX('Shultis Faw'!$A$2:$A$26,MATCH($C678,'Shultis Faw'!$A$2:$A$26,1)))*(INDEX('Shultis Faw'!$C$2:$C$26,MATCH($C678,'Shultis Faw'!$A$2:$A$26,1)+1)-INDEX('Shultis Faw'!$C$2:$C$26,MATCH($C678,'Shultis Faw'!$A$2:$A$26,1)))/(INDEX('Shultis Faw'!$A$2:$A$26,MATCH($C678,'Shultis Faw'!$A$2:$A$26,1)+1)-INDEX('Shultis Faw'!$A$2:$A$26,MATCH($C678,'Shultis Faw'!$A$2:$A$26,1))),$C678*'Shultis Faw'!$C$2/'Shultis Faw'!$A$2)</f>
        <v>2.1623505000000001</v>
      </c>
      <c r="J678" s="83">
        <f>_xlfn.IFNA(INDEX('Shultis Faw'!$D$2:$D$26,MATCH($C678,'Shultis Faw'!$A$2:$A$26,1))+($C678-INDEX('Shultis Faw'!$A$2:$A$26,MATCH($C678,'Shultis Faw'!$A$2:$A$26,1)))*(INDEX('Shultis Faw'!$D$2:$D$26,MATCH($C678,'Shultis Faw'!$A$2:$A$26,1)+1)-INDEX('Shultis Faw'!$D$2:$D$26,MATCH($C678,'Shultis Faw'!$A$2:$A$26,1)))/(INDEX('Shultis Faw'!$A$2:$A$26,MATCH($C678,'Shultis Faw'!$A$2:$A$26,1)+1)-INDEX('Shultis Faw'!$A$2:$A$26,MATCH($C678,'Shultis Faw'!$A$2:$A$26,1))),$C678*'Shultis Faw'!$D$2/'Shultis Faw'!$A$2)</f>
        <v>1.4970835</v>
      </c>
      <c r="K678" s="83">
        <f>_xlfn.IFNA(INDEX('Shultis Faw'!$B$2:$B$26,MATCH($C678,'Shultis Faw'!$A$2:$A$26,1))+($C678-INDEX('Shultis Faw'!$A$2:$A$26,MATCH($C678,'Shultis Faw'!$A$2:$A$26,1)))*(INDEX('Shultis Faw'!$B$2:$B$26,MATCH($C678,'Shultis Faw'!$A$2:$A$26,1)+1)-INDEX('Shultis Faw'!$B$2:$B$26,MATCH($C678,'Shultis Faw'!$A$2:$A$26,1)))/(INDEX('Shultis Faw'!$A$2:$A$26,MATCH($C678,'Shultis Faw'!$A$2:$A$26,1)+1)-INDEX('Shultis Faw'!$A$2:$A$26,MATCH($C678,'Shultis Faw'!$A$2:$A$26,1))),$C678*'Shultis Faw'!$B$2/'Shultis Faw'!$A$2)</f>
        <v>-9.7711999999999993E-2</v>
      </c>
      <c r="L678" s="83">
        <f>_xlfn.IFNA(INDEX('Shultis Faw'!$E$2:$E$26,MATCH($C678,'Shultis Faw'!$A$2:$A$26,1))+($C678-INDEX('Shultis Faw'!$A$2:$A$26,MATCH($C678,'Shultis Faw'!$A$2:$A$26,1)))*(INDEX('Shultis Faw'!$E$2:$E$26,MATCH($C678,'Shultis Faw'!$A$2:$A$26,1)+1)-INDEX('Shultis Faw'!$E$2:$E$26,MATCH($C678,'Shultis Faw'!$A$2:$A$26,1)))/(INDEX('Shultis Faw'!$A$2:$A$26,MATCH($C678,'Shultis Faw'!$A$2:$A$26,1)+1)-INDEX('Shultis Faw'!$A$2:$A$26,MATCH($C678,'Shultis Faw'!$A$2:$A$26,1))),$C678*'Shultis Faw'!$E$2/'Shultis Faw'!$A$2)</f>
        <v>4.1012550000000002E-2</v>
      </c>
      <c r="M678" s="83">
        <f>_xlfn.IFNA(INDEX('Shultis Faw'!$F$2:$F$26,MATCH($C678,'Shultis Faw'!$A$2:$A$26,1))+($C678-INDEX('Shultis Faw'!$A$2:$A$26,MATCH($C678,'Shultis Faw'!$A$2:$A$26,1)))*(INDEX('Shultis Faw'!$F$2:$F$26,MATCH($C678,'Shultis Faw'!$A$2:$A$26,1)+1)-INDEX('Shultis Faw'!$F$2:$F$26,MATCH($C678,'Shultis Faw'!$A$2:$A$26,1)))/(INDEX('Shultis Faw'!$A$2:$A$26,MATCH($C678,'Shultis Faw'!$A$2:$A$26,1)+1)-INDEX('Shultis Faw'!$A$2:$A$26,MATCH($C678,'Shultis Faw'!$A$2:$A$26,1))),$C678*'Shultis Faw'!$F$2/'Shultis Faw'!$A$2)</f>
        <v>14.29623</v>
      </c>
      <c r="N678" s="83">
        <f>J678*(H678*'Externe blootstelling'!$D$23/2)^K678+L678*(TANH(((H678*'Externe blootstelling'!$D$23)/(2*M678))-2)-TANH(-2))/(1-TANH(-2))</f>
        <v>1.4804391131173504</v>
      </c>
      <c r="O678" s="83">
        <f>IF(N678=1,1+(I678-1)*H678*'Externe blootstelling'!$D$23/2,1+(I678-1)*(N678^(H678*'Externe blootstelling'!$D$23/2)-1)/(N678-1))</f>
        <v>2.3382414416657653</v>
      </c>
      <c r="P678" s="67">
        <f>G678*EXP(-H678*'Externe blootstelling'!$D$23/2)*O678</f>
        <v>2.7926956597761825E-5</v>
      </c>
      <c r="Q678" s="68"/>
    </row>
    <row r="679" spans="1:17" x14ac:dyDescent="0.2">
      <c r="A679" s="218"/>
      <c r="B679" s="64" t="s">
        <v>104</v>
      </c>
      <c r="C679" s="66">
        <v>1.0737000000000001</v>
      </c>
      <c r="D679" s="66">
        <f t="shared" si="43"/>
        <v>1.7179199999999999E-13</v>
      </c>
      <c r="E679" s="66">
        <v>3.3000000000000002E-6</v>
      </c>
      <c r="F679" s="66">
        <f>_xlfn.IFNA(INDEX('hp (pSv cm2)'!$B$2:$B$52,MATCH($C679,'hp (pSv cm2)'!$A$2:$A$52,1))+($C679-INDEX('hp (pSv cm2)'!$A$2:$A$52,MATCH($C679,'hp (pSv cm2)'!$A$2:$A$52,1)))*(INDEX('hp (pSv cm2)'!$B$2:$B$52,MATCH($C679,'hp (pSv cm2)'!$A$2:$A$52,1)+1)-INDEX('hp (pSv cm2)'!$B$2:$B$52,MATCH($C679,'hp (pSv cm2)'!$A$2:$A$52,1)))/(INDEX('hp (pSv cm2)'!$A$2:$A$52,MATCH($C679,'hp (pSv cm2)'!$A$2:$A$52,1)+1)-INDEX('hp (pSv cm2)'!$A$2:$A$52,MATCH($C679,'hp (pSv cm2)'!$A$2:$A$52,1))),$C679*'hp (pSv cm2)'!$B$2/'hp (pSv cm2)'!$A$2)</f>
        <v>4.7302620000000006</v>
      </c>
      <c r="G679" s="67">
        <f t="shared" si="45"/>
        <v>1.5609864600000002E-5</v>
      </c>
      <c r="H679" s="83">
        <f>_xlfn.IFNA(0.997*(INDEX('Mass attenuation coefficients'!$B$2:$B$37,MATCH($C679,'Mass attenuation coefficients'!$A$2:$A$37,1))+($C679-INDEX('Mass attenuation coefficients'!$A$2:$A$37,MATCH($C679,'Mass attenuation coefficients'!$A$2:$A$37,1)))*(INDEX('Mass attenuation coefficients'!$B$2:$B$37,MATCH($C679,'Mass attenuation coefficients'!$A$2:$A$37,1)+1)-INDEX('Mass attenuation coefficients'!$B$2:$B$37,MATCH($C679,'Mass attenuation coefficients'!$A$2:$A$37,1)))/(INDEX('Mass attenuation coefficients'!$A$2:$A$37,MATCH($C679,'Mass attenuation coefficients'!$A$2:$A$37,1)+1)-INDEX('Mass attenuation coefficients'!$A$2:$A$37,MATCH($C679,'Mass attenuation coefficients'!$A$2:$A$37,1)))),0.997*$C679*'Mass attenuation coefficients'!$B$2/'Mass attenuation coefficients'!$A$2)</f>
        <v>6.8306412156000001E-2</v>
      </c>
      <c r="I679" s="83">
        <f>_xlfn.IFNA(INDEX('Shultis Faw'!$C$2:$C$26,MATCH($C679,'Shultis Faw'!$A$2:$A$26,1))+($C679-INDEX('Shultis Faw'!$A$2:$A$26,MATCH($C679,'Shultis Faw'!$A$2:$A$26,1)))*(INDEX('Shultis Faw'!$C$2:$C$26,MATCH($C679,'Shultis Faw'!$A$2:$A$26,1)+1)-INDEX('Shultis Faw'!$C$2:$C$26,MATCH($C679,'Shultis Faw'!$A$2:$A$26,1)))/(INDEX('Shultis Faw'!$A$2:$A$26,MATCH($C679,'Shultis Faw'!$A$2:$A$26,1)+1)-INDEX('Shultis Faw'!$A$2:$A$26,MATCH($C679,'Shultis Faw'!$A$2:$A$26,1))),$C679*'Shultis Faw'!$C$2/'Shultis Faw'!$A$2)</f>
        <v>2.0788264000000001</v>
      </c>
      <c r="J679" s="83">
        <f>_xlfn.IFNA(INDEX('Shultis Faw'!$D$2:$D$26,MATCH($C679,'Shultis Faw'!$A$2:$A$26,1))+($C679-INDEX('Shultis Faw'!$A$2:$A$26,MATCH($C679,'Shultis Faw'!$A$2:$A$26,1)))*(INDEX('Shultis Faw'!$D$2:$D$26,MATCH($C679,'Shultis Faw'!$A$2:$A$26,1)+1)-INDEX('Shultis Faw'!$D$2:$D$26,MATCH($C679,'Shultis Faw'!$A$2:$A$26,1)))/(INDEX('Shultis Faw'!$A$2:$A$26,MATCH($C679,'Shultis Faw'!$A$2:$A$26,1)+1)-INDEX('Shultis Faw'!$A$2:$A$26,MATCH($C679,'Shultis Faw'!$A$2:$A$26,1))),$C679*'Shultis Faw'!$D$2/'Shultis Faw'!$A$2)</f>
        <v>1.4156472</v>
      </c>
      <c r="K679" s="83">
        <f>_xlfn.IFNA(INDEX('Shultis Faw'!$B$2:$B$26,MATCH($C679,'Shultis Faw'!$A$2:$A$26,1))+($C679-INDEX('Shultis Faw'!$A$2:$A$26,MATCH($C679,'Shultis Faw'!$A$2:$A$26,1)))*(INDEX('Shultis Faw'!$B$2:$B$26,MATCH($C679,'Shultis Faw'!$A$2:$A$26,1)+1)-INDEX('Shultis Faw'!$B$2:$B$26,MATCH($C679,'Shultis Faw'!$A$2:$A$26,1)))/(INDEX('Shultis Faw'!$A$2:$A$26,MATCH($C679,'Shultis Faw'!$A$2:$A$26,1)+1)-INDEX('Shultis Faw'!$A$2:$A$26,MATCH($C679,'Shultis Faw'!$A$2:$A$26,1))),$C679*'Shultis Faw'!$B$2/'Shultis Faw'!$A$2)</f>
        <v>-8.4430599999999995E-2</v>
      </c>
      <c r="L679" s="83">
        <f>_xlfn.IFNA(INDEX('Shultis Faw'!$E$2:$E$26,MATCH($C679,'Shultis Faw'!$A$2:$A$26,1))+($C679-INDEX('Shultis Faw'!$A$2:$A$26,MATCH($C679,'Shultis Faw'!$A$2:$A$26,1)))*(INDEX('Shultis Faw'!$E$2:$E$26,MATCH($C679,'Shultis Faw'!$A$2:$A$26,1)+1)-INDEX('Shultis Faw'!$E$2:$E$26,MATCH($C679,'Shultis Faw'!$A$2:$A$26,1)))/(INDEX('Shultis Faw'!$A$2:$A$26,MATCH($C679,'Shultis Faw'!$A$2:$A$26,1)+1)-INDEX('Shultis Faw'!$A$2:$A$26,MATCH($C679,'Shultis Faw'!$A$2:$A$26,1))),$C679*'Shultis Faw'!$E$2/'Shultis Faw'!$A$2)</f>
        <v>3.5854319999999995E-2</v>
      </c>
      <c r="M679" s="83">
        <f>_xlfn.IFNA(INDEX('Shultis Faw'!$F$2:$F$26,MATCH($C679,'Shultis Faw'!$A$2:$A$26,1))+($C679-INDEX('Shultis Faw'!$A$2:$A$26,MATCH($C679,'Shultis Faw'!$A$2:$A$26,1)))*(INDEX('Shultis Faw'!$F$2:$F$26,MATCH($C679,'Shultis Faw'!$A$2:$A$26,1)+1)-INDEX('Shultis Faw'!$F$2:$F$26,MATCH($C679,'Shultis Faw'!$A$2:$A$26,1)))/(INDEX('Shultis Faw'!$A$2:$A$26,MATCH($C679,'Shultis Faw'!$A$2:$A$26,1)+1)-INDEX('Shultis Faw'!$A$2:$A$26,MATCH($C679,'Shultis Faw'!$A$2:$A$26,1))),$C679*'Shultis Faw'!$F$2/'Shultis Faw'!$A$2)</f>
        <v>14.26422</v>
      </c>
      <c r="N679" s="83">
        <f>J679*(H679*'Externe blootstelling'!$D$23/2)^K679+L679*(TANH(((H679*'Externe blootstelling'!$D$23)/(2*M679))-2)-TANH(-2))/(1-TANH(-2))</f>
        <v>1.412845269248026</v>
      </c>
      <c r="O679" s="83">
        <f>IF(N679=1,1+(I679-1)*H679*'Externe blootstelling'!$D$23/2,1+(I679-1)*(N679^(H679*'Externe blootstelling'!$D$23/2)-1)/(N679-1))</f>
        <v>2.1103440991102085</v>
      </c>
      <c r="P679" s="67">
        <f>G679*EXP(-H679*'Externe blootstelling'!$D$23/2)*O679</f>
        <v>1.1824313675439348E-5</v>
      </c>
      <c r="Q679" s="68"/>
    </row>
    <row r="680" spans="1:17" x14ac:dyDescent="0.2">
      <c r="A680" s="216" t="s">
        <v>153</v>
      </c>
      <c r="B680" s="64" t="s">
        <v>102</v>
      </c>
      <c r="C680" s="66">
        <v>1.2201449999999999E-2</v>
      </c>
      <c r="D680" s="66">
        <f t="shared" si="43"/>
        <v>1.9522319999999998E-15</v>
      </c>
      <c r="E680" s="66">
        <v>7.0999999999999998E-6</v>
      </c>
      <c r="F680" s="66">
        <f>_xlfn.IFNA(INDEX('hp (pSv cm2)'!$B$2:$B$52,MATCH($C680,'hp (pSv cm2)'!$A$2:$A$52,1))+($C680-INDEX('hp (pSv cm2)'!$A$2:$A$52,MATCH($C680,'hp (pSv cm2)'!$A$2:$A$52,1)))*(INDEX('hp (pSv cm2)'!$B$2:$B$52,MATCH($C680,'hp (pSv cm2)'!$A$2:$A$52,1)+1)-INDEX('hp (pSv cm2)'!$B$2:$B$52,MATCH($C680,'hp (pSv cm2)'!$A$2:$A$52,1)))/(INDEX('hp (pSv cm2)'!$A$2:$A$52,MATCH($C680,'hp (pSv cm2)'!$A$2:$A$52,1)+1)-INDEX('hp (pSv cm2)'!$A$2:$A$52,MATCH($C680,'hp (pSv cm2)'!$A$2:$A$52,1))),$C680*'hp (pSv cm2)'!$B$2/'hp (pSv cm2)'!$A$2)</f>
        <v>0.10842464999999998</v>
      </c>
      <c r="G680" s="67">
        <f t="shared" si="45"/>
        <v>7.6981501499999986E-7</v>
      </c>
      <c r="H680" s="83">
        <f>_xlfn.IFNA(0.997*(INDEX('Mass attenuation coefficients'!$B$2:$B$37,MATCH($C680,'Mass attenuation coefficients'!$A$2:$A$37,1))+($C680-INDEX('Mass attenuation coefficients'!$A$2:$A$37,MATCH($C680,'Mass attenuation coefficients'!$A$2:$A$37,1)))*(INDEX('Mass attenuation coefficients'!$B$2:$B$37,MATCH($C680,'Mass attenuation coefficients'!$A$2:$A$37,1)+1)-INDEX('Mass attenuation coefficients'!$B$2:$B$37,MATCH($C680,'Mass attenuation coefficients'!$A$2:$A$37,1)))/(INDEX('Mass attenuation coefficients'!$A$2:$A$37,MATCH($C680,'Mass attenuation coefficients'!$A$2:$A$37,1)+1)-INDEX('Mass attenuation coefficients'!$A$2:$A$37,MATCH($C680,'Mass attenuation coefficients'!$A$2:$A$37,1)))),0.997*$C680*'Mass attenuation coefficients'!$B$2/'Mass attenuation coefficients'!$A$2)</f>
        <v>3.7081418607200001</v>
      </c>
      <c r="I680" s="83">
        <f>_xlfn.IFNA(INDEX('Shultis Faw'!$C$2:$C$26,MATCH($C680,'Shultis Faw'!$A$2:$A$26,1))+($C680-INDEX('Shultis Faw'!$A$2:$A$26,MATCH($C680,'Shultis Faw'!$A$2:$A$26,1)))*(INDEX('Shultis Faw'!$C$2:$C$26,MATCH($C680,'Shultis Faw'!$A$2:$A$26,1)+1)-INDEX('Shultis Faw'!$C$2:$C$26,MATCH($C680,'Shultis Faw'!$A$2:$A$26,1)))/(INDEX('Shultis Faw'!$A$2:$A$26,MATCH($C680,'Shultis Faw'!$A$2:$A$26,1)+1)-INDEX('Shultis Faw'!$A$2:$A$26,MATCH($C680,'Shultis Faw'!$A$2:$A$26,1))),$C680*'Shultis Faw'!$C$2/'Shultis Faw'!$A$2)</f>
        <v>0.96147425999999991</v>
      </c>
      <c r="J680" s="83">
        <f>_xlfn.IFNA(INDEX('Shultis Faw'!$D$2:$D$26,MATCH($C680,'Shultis Faw'!$A$2:$A$26,1))+($C680-INDEX('Shultis Faw'!$A$2:$A$26,MATCH($C680,'Shultis Faw'!$A$2:$A$26,1)))*(INDEX('Shultis Faw'!$D$2:$D$26,MATCH($C680,'Shultis Faw'!$A$2:$A$26,1)+1)-INDEX('Shultis Faw'!$D$2:$D$26,MATCH($C680,'Shultis Faw'!$A$2:$A$26,1)))/(INDEX('Shultis Faw'!$A$2:$A$26,MATCH($C680,'Shultis Faw'!$A$2:$A$26,1)+1)-INDEX('Shultis Faw'!$A$2:$A$26,MATCH($C680,'Shultis Faw'!$A$2:$A$26,1))),$C680*'Shultis Faw'!$D$2/'Shultis Faw'!$A$2)</f>
        <v>0.37661808999999996</v>
      </c>
      <c r="K680" s="83">
        <f>_xlfn.IFNA(INDEX('Shultis Faw'!$B$2:$B$26,MATCH($C680,'Shultis Faw'!$A$2:$A$26,1))+($C680-INDEX('Shultis Faw'!$A$2:$A$26,MATCH($C680,'Shultis Faw'!$A$2:$A$26,1)))*(INDEX('Shultis Faw'!$B$2:$B$26,MATCH($C680,'Shultis Faw'!$A$2:$A$26,1)+1)-INDEX('Shultis Faw'!$B$2:$B$26,MATCH($C680,'Shultis Faw'!$A$2:$A$26,1)))/(INDEX('Shultis Faw'!$A$2:$A$26,MATCH($C680,'Shultis Faw'!$A$2:$A$26,1)+1)-INDEX('Shultis Faw'!$A$2:$A$26,MATCH($C680,'Shultis Faw'!$A$2:$A$26,1))),$C680*'Shultis Faw'!$B$2/'Shultis Faw'!$A$2)</f>
        <v>0.13990996</v>
      </c>
      <c r="L680" s="83">
        <f>_xlfn.IFNA(INDEX('Shultis Faw'!$E$2:$E$26,MATCH($C680,'Shultis Faw'!$A$2:$A$26,1))+($C680-INDEX('Shultis Faw'!$A$2:$A$26,MATCH($C680,'Shultis Faw'!$A$2:$A$26,1)))*(INDEX('Shultis Faw'!$E$2:$E$26,MATCH($C680,'Shultis Faw'!$A$2:$A$26,1)+1)-INDEX('Shultis Faw'!$E$2:$E$26,MATCH($C680,'Shultis Faw'!$A$2:$A$26,1)))/(INDEX('Shultis Faw'!$A$2:$A$26,MATCH($C680,'Shultis Faw'!$A$2:$A$26,1)+1)-INDEX('Shultis Faw'!$A$2:$A$26,MATCH($C680,'Shultis Faw'!$A$2:$A$26,1))),$C680*'Shultis Faw'!$E$2/'Shultis Faw'!$A$2)</f>
        <v>-7.3859443999999996E-2</v>
      </c>
      <c r="M680" s="83">
        <f>_xlfn.IFNA(INDEX('Shultis Faw'!$F$2:$F$26,MATCH($C680,'Shultis Faw'!$A$2:$A$26,1))+($C680-INDEX('Shultis Faw'!$A$2:$A$26,MATCH($C680,'Shultis Faw'!$A$2:$A$26,1)))*(INDEX('Shultis Faw'!$F$2:$F$26,MATCH($C680,'Shultis Faw'!$A$2:$A$26,1)+1)-INDEX('Shultis Faw'!$F$2:$F$26,MATCH($C680,'Shultis Faw'!$A$2:$A$26,1)))/(INDEX('Shultis Faw'!$A$2:$A$26,MATCH($C680,'Shultis Faw'!$A$2:$A$26,1)+1)-INDEX('Shultis Faw'!$A$2:$A$26,MATCH($C680,'Shultis Faw'!$A$2:$A$26,1))),$C680*'Shultis Faw'!$F$2/'Shultis Faw'!$A$2)</f>
        <v>11.5751089</v>
      </c>
      <c r="N680" s="83">
        <f>J680*(H680*'Externe blootstelling'!$D$23/2)^K680+L680*(TANH(((H680*'Externe blootstelling'!$D$23)/(2*M680))-2)-TANH(-2))/(1-TANH(-2))</f>
        <v>0.58722791556449105</v>
      </c>
      <c r="O680" s="83">
        <f>IF(N680=1,1+(I680-1)*H680*'Externe blootstelling'!$D$23/2,1+(I680-1)*(N680^(H680*'Externe blootstelling'!$D$23/2)-1)/(N680-1))</f>
        <v>0.90666582975764687</v>
      </c>
      <c r="P680" s="67">
        <f>G680*EXP(-H680*'Externe blootstelling'!$D$23/2)*O680</f>
        <v>4.8691191564637846E-31</v>
      </c>
      <c r="Q680" s="68"/>
    </row>
    <row r="681" spans="1:17" x14ac:dyDescent="0.2">
      <c r="A681" s="217"/>
      <c r="B681" s="64" t="s">
        <v>102</v>
      </c>
      <c r="C681" s="66">
        <v>7.2804900000000006E-2</v>
      </c>
      <c r="D681" s="66">
        <f t="shared" si="43"/>
        <v>1.1648784000000001E-14</v>
      </c>
      <c r="E681" s="66">
        <v>4.5000000000000001E-6</v>
      </c>
      <c r="F681" s="66">
        <f>_xlfn.IFNA(INDEX('hp (pSv cm2)'!$B$2:$B$52,MATCH($C681,'hp (pSv cm2)'!$A$2:$A$52,1))+($C681-INDEX('hp (pSv cm2)'!$A$2:$A$52,MATCH($C681,'hp (pSv cm2)'!$A$2:$A$52,1)))*(INDEX('hp (pSv cm2)'!$B$2:$B$52,MATCH($C681,'hp (pSv cm2)'!$A$2:$A$52,1)+1)-INDEX('hp (pSv cm2)'!$B$2:$B$52,MATCH($C681,'hp (pSv cm2)'!$A$2:$A$52,1)))/(INDEX('hp (pSv cm2)'!$A$2:$A$52,MATCH($C681,'hp (pSv cm2)'!$A$2:$A$52,1)+1)-INDEX('hp (pSv cm2)'!$A$2:$A$52,MATCH($C681,'hp (pSv cm2)'!$A$2:$A$52,1))),$C681*'hp (pSv cm2)'!$B$2/'hp (pSv cm2)'!$A$2)</f>
        <v>0.41997567999999996</v>
      </c>
      <c r="G681" s="67">
        <f t="shared" si="45"/>
        <v>1.88989056E-6</v>
      </c>
      <c r="H681" s="83">
        <f>_xlfn.IFNA(0.997*(INDEX('Mass attenuation coefficients'!$B$2:$B$37,MATCH($C681,'Mass attenuation coefficients'!$A$2:$A$37,1))+($C681-INDEX('Mass attenuation coefficients'!$A$2:$A$37,MATCH($C681,'Mass attenuation coefficients'!$A$2:$A$37,1)))*(INDEX('Mass attenuation coefficients'!$B$2:$B$37,MATCH($C681,'Mass attenuation coefficients'!$A$2:$A$37,1)+1)-INDEX('Mass attenuation coefficients'!$B$2:$B$37,MATCH($C681,'Mass attenuation coefficients'!$A$2:$A$37,1)))/(INDEX('Mass attenuation coefficients'!$A$2:$A$37,MATCH($C681,'Mass attenuation coefficients'!$A$2:$A$37,1)+1)-INDEX('Mass attenuation coefficients'!$A$2:$A$37,MATCH($C681,'Mass attenuation coefficients'!$A$2:$A$37,1)))),0.997*$C681*'Mass attenuation coefficients'!$B$2/'Mass attenuation coefficients'!$A$2)</f>
        <v>0.191111501317</v>
      </c>
      <c r="I681" s="83">
        <f>_xlfn.IFNA(INDEX('Shultis Faw'!$C$2:$C$26,MATCH($C681,'Shultis Faw'!$A$2:$A$26,1))+($C681-INDEX('Shultis Faw'!$A$2:$A$26,MATCH($C681,'Shultis Faw'!$A$2:$A$26,1)))*(INDEX('Shultis Faw'!$C$2:$C$26,MATCH($C681,'Shultis Faw'!$A$2:$A$26,1)+1)-INDEX('Shultis Faw'!$C$2:$C$26,MATCH($C681,'Shultis Faw'!$A$2:$A$26,1)))/(INDEX('Shultis Faw'!$A$2:$A$26,MATCH($C681,'Shultis Faw'!$A$2:$A$26,1)+1)-INDEX('Shultis Faw'!$A$2:$A$26,MATCH($C681,'Shultis Faw'!$A$2:$A$26,1))),$C681*'Shultis Faw'!$C$2/'Shultis Faw'!$A$2)</f>
        <v>5.03165862</v>
      </c>
      <c r="J681" s="83">
        <f>_xlfn.IFNA(INDEX('Shultis Faw'!$D$2:$D$26,MATCH($C681,'Shultis Faw'!$A$2:$A$26,1))+($C681-INDEX('Shultis Faw'!$A$2:$A$26,MATCH($C681,'Shultis Faw'!$A$2:$A$26,1)))*(INDEX('Shultis Faw'!$D$2:$D$26,MATCH($C681,'Shultis Faw'!$A$2:$A$26,1)+1)-INDEX('Shultis Faw'!$D$2:$D$26,MATCH($C681,'Shultis Faw'!$A$2:$A$26,1)))/(INDEX('Shultis Faw'!$A$2:$A$26,MATCH($C681,'Shultis Faw'!$A$2:$A$26,1)+1)-INDEX('Shultis Faw'!$A$2:$A$26,MATCH($C681,'Shultis Faw'!$A$2:$A$26,1))),$C681*'Shultis Faw'!$D$2/'Shultis Faw'!$A$2)</f>
        <v>1.9406406050000002</v>
      </c>
      <c r="K681" s="83">
        <f>_xlfn.IFNA(INDEX('Shultis Faw'!$B$2:$B$26,MATCH($C681,'Shultis Faw'!$A$2:$A$26,1))+($C681-INDEX('Shultis Faw'!$A$2:$A$26,MATCH($C681,'Shultis Faw'!$A$2:$A$26,1)))*(INDEX('Shultis Faw'!$B$2:$B$26,MATCH($C681,'Shultis Faw'!$A$2:$A$26,1)+1)-INDEX('Shultis Faw'!$B$2:$B$26,MATCH($C681,'Shultis Faw'!$A$2:$A$26,1)))/(INDEX('Shultis Faw'!$A$2:$A$26,MATCH($C681,'Shultis Faw'!$A$2:$A$26,1)+1)-INDEX('Shultis Faw'!$A$2:$A$26,MATCH($C681,'Shultis Faw'!$A$2:$A$26,1))),$C681*'Shultis Faw'!$B$2/'Shultis Faw'!$A$2)</f>
        <v>-0.15289029000000001</v>
      </c>
      <c r="L681" s="83">
        <f>_xlfn.IFNA(INDEX('Shultis Faw'!$E$2:$E$26,MATCH($C681,'Shultis Faw'!$A$2:$A$26,1))+($C681-INDEX('Shultis Faw'!$A$2:$A$26,MATCH($C681,'Shultis Faw'!$A$2:$A$26,1)))*(INDEX('Shultis Faw'!$E$2:$E$26,MATCH($C681,'Shultis Faw'!$A$2:$A$26,1)+1)-INDEX('Shultis Faw'!$E$2:$E$26,MATCH($C681,'Shultis Faw'!$A$2:$A$26,1)))/(INDEX('Shultis Faw'!$A$2:$A$26,MATCH($C681,'Shultis Faw'!$A$2:$A$26,1)+1)-INDEX('Shultis Faw'!$A$2:$A$26,MATCH($C681,'Shultis Faw'!$A$2:$A$26,1))),$C681*'Shultis Faw'!$E$2/'Shultis Faw'!$A$2)</f>
        <v>6.9481120500000007E-2</v>
      </c>
      <c r="M681" s="83">
        <f>_xlfn.IFNA(INDEX('Shultis Faw'!$F$2:$F$26,MATCH($C681,'Shultis Faw'!$A$2:$A$26,1))+($C681-INDEX('Shultis Faw'!$A$2:$A$26,MATCH($C681,'Shultis Faw'!$A$2:$A$26,1)))*(INDEX('Shultis Faw'!$F$2:$F$26,MATCH($C681,'Shultis Faw'!$A$2:$A$26,1)+1)-INDEX('Shultis Faw'!$F$2:$F$26,MATCH($C681,'Shultis Faw'!$A$2:$A$26,1)))/(INDEX('Shultis Faw'!$A$2:$A$26,MATCH($C681,'Shultis Faw'!$A$2:$A$26,1)+1)-INDEX('Shultis Faw'!$A$2:$A$26,MATCH($C681,'Shultis Faw'!$A$2:$A$26,1))),$C681*'Shultis Faw'!$F$2/'Shultis Faw'!$A$2)</f>
        <v>13.659207350000001</v>
      </c>
      <c r="N681" s="83">
        <f>J681*(H681*'Externe blootstelling'!$D$23/2)^K681+L681*(TANH(((H681*'Externe blootstelling'!$D$23)/(2*M681))-2)-TANH(-2))/(1-TANH(-2))</f>
        <v>1.6526701058573368</v>
      </c>
      <c r="O681" s="83">
        <f>IF(N681=1,1+(I681-1)*H681*'Externe blootstelling'!$D$23/2,1+(I681-1)*(N681^(H681*'Externe blootstelling'!$D$23/2)-1)/(N681-1))</f>
        <v>20.899865550623343</v>
      </c>
      <c r="P681" s="67">
        <f>G681*EXP(-H681*'Externe blootstelling'!$D$23/2)*O681</f>
        <v>2.2469845758370374E-6</v>
      </c>
      <c r="Q681" s="68"/>
    </row>
    <row r="682" spans="1:17" x14ac:dyDescent="0.2">
      <c r="A682" s="217"/>
      <c r="B682" s="64" t="s">
        <v>102</v>
      </c>
      <c r="C682" s="66">
        <v>7.4969999999999995E-2</v>
      </c>
      <c r="D682" s="66">
        <f t="shared" si="43"/>
        <v>1.1995199999999999E-14</v>
      </c>
      <c r="E682" s="66">
        <v>7.5000000000000002E-6</v>
      </c>
      <c r="F682" s="66">
        <f>_xlfn.IFNA(INDEX('hp (pSv cm2)'!$B$2:$B$52,MATCH($C682,'hp (pSv cm2)'!$A$2:$A$52,1))+($C682-INDEX('hp (pSv cm2)'!$A$2:$A$52,MATCH($C682,'hp (pSv cm2)'!$A$2:$A$52,1)))*(INDEX('hp (pSv cm2)'!$B$2:$B$52,MATCH($C682,'hp (pSv cm2)'!$A$2:$A$52,1)+1)-INDEX('hp (pSv cm2)'!$B$2:$B$52,MATCH($C682,'hp (pSv cm2)'!$A$2:$A$52,1)))/(INDEX('hp (pSv cm2)'!$A$2:$A$52,MATCH($C682,'hp (pSv cm2)'!$A$2:$A$52,1)+1)-INDEX('hp (pSv cm2)'!$A$2:$A$52,MATCH($C682,'hp (pSv cm2)'!$A$2:$A$52,1))),$C682*'hp (pSv cm2)'!$B$2/'hp (pSv cm2)'!$A$2)</f>
        <v>0.42690399999999995</v>
      </c>
      <c r="G682" s="67">
        <f t="shared" si="45"/>
        <v>3.2017799999999999E-6</v>
      </c>
      <c r="H682" s="83">
        <f>_xlfn.IFNA(0.997*(INDEX('Mass attenuation coefficients'!$B$2:$B$37,MATCH($C682,'Mass attenuation coefficients'!$A$2:$A$37,1))+($C682-INDEX('Mass attenuation coefficients'!$A$2:$A$37,MATCH($C682,'Mass attenuation coefficients'!$A$2:$A$37,1)))*(INDEX('Mass attenuation coefficients'!$B$2:$B$37,MATCH($C682,'Mass attenuation coefficients'!$A$2:$A$37,1)+1)-INDEX('Mass attenuation coefficients'!$B$2:$B$37,MATCH($C682,'Mass attenuation coefficients'!$A$2:$A$37,1)))/(INDEX('Mass attenuation coefficients'!$A$2:$A$37,MATCH($C682,'Mass attenuation coefficients'!$A$2:$A$37,1)+1)-INDEX('Mass attenuation coefficients'!$A$2:$A$37,MATCH($C682,'Mass attenuation coefficients'!$A$2:$A$37,1)))),0.997*$C682*'Mass attenuation coefficients'!$B$2/'Mass attenuation coefficients'!$A$2)</f>
        <v>0.18871545010000002</v>
      </c>
      <c r="I682" s="83">
        <f>_xlfn.IFNA(INDEX('Shultis Faw'!$C$2:$C$26,MATCH($C682,'Shultis Faw'!$A$2:$A$26,1))+($C682-INDEX('Shultis Faw'!$A$2:$A$26,MATCH($C682,'Shultis Faw'!$A$2:$A$26,1)))*(INDEX('Shultis Faw'!$C$2:$C$26,MATCH($C682,'Shultis Faw'!$A$2:$A$26,1)+1)-INDEX('Shultis Faw'!$C$2:$C$26,MATCH($C682,'Shultis Faw'!$A$2:$A$26,1)))/(INDEX('Shultis Faw'!$A$2:$A$26,MATCH($C682,'Shultis Faw'!$A$2:$A$26,1)+1)-INDEX('Shultis Faw'!$A$2:$A$26,MATCH($C682,'Shultis Faw'!$A$2:$A$26,1))),$C682*'Shultis Faw'!$C$2/'Shultis Faw'!$A$2)</f>
        <v>5.0398860000000001</v>
      </c>
      <c r="J682" s="83">
        <f>_xlfn.IFNA(INDEX('Shultis Faw'!$D$2:$D$26,MATCH($C682,'Shultis Faw'!$A$2:$A$26,1))+($C682-INDEX('Shultis Faw'!$A$2:$A$26,MATCH($C682,'Shultis Faw'!$A$2:$A$26,1)))*(INDEX('Shultis Faw'!$D$2:$D$26,MATCH($C682,'Shultis Faw'!$A$2:$A$26,1)+1)-INDEX('Shultis Faw'!$D$2:$D$26,MATCH($C682,'Shultis Faw'!$A$2:$A$26,1)))/(INDEX('Shultis Faw'!$A$2:$A$26,MATCH($C682,'Shultis Faw'!$A$2:$A$26,1)+1)-INDEX('Shultis Faw'!$A$2:$A$26,MATCH($C682,'Shultis Faw'!$A$2:$A$26,1))),$C682*'Shultis Faw'!$D$2/'Shultis Faw'!$A$2)</f>
        <v>1.9762565000000001</v>
      </c>
      <c r="K682" s="83">
        <f>_xlfn.IFNA(INDEX('Shultis Faw'!$B$2:$B$26,MATCH($C682,'Shultis Faw'!$A$2:$A$26,1))+($C682-INDEX('Shultis Faw'!$A$2:$A$26,MATCH($C682,'Shultis Faw'!$A$2:$A$26,1)))*(INDEX('Shultis Faw'!$B$2:$B$26,MATCH($C682,'Shultis Faw'!$A$2:$A$26,1)+1)-INDEX('Shultis Faw'!$B$2:$B$26,MATCH($C682,'Shultis Faw'!$A$2:$A$26,1)))/(INDEX('Shultis Faw'!$A$2:$A$26,MATCH($C682,'Shultis Faw'!$A$2:$A$26,1)+1)-INDEX('Shultis Faw'!$A$2:$A$26,MATCH($C682,'Shultis Faw'!$A$2:$A$26,1))),$C682*'Shultis Faw'!$B$2/'Shultis Faw'!$A$2)</f>
        <v>-0.15743699999999999</v>
      </c>
      <c r="L682" s="83">
        <f>_xlfn.IFNA(INDEX('Shultis Faw'!$E$2:$E$26,MATCH($C682,'Shultis Faw'!$A$2:$A$26,1))+($C682-INDEX('Shultis Faw'!$A$2:$A$26,MATCH($C682,'Shultis Faw'!$A$2:$A$26,1)))*(INDEX('Shultis Faw'!$E$2:$E$26,MATCH($C682,'Shultis Faw'!$A$2:$A$26,1)+1)-INDEX('Shultis Faw'!$E$2:$E$26,MATCH($C682,'Shultis Faw'!$A$2:$A$26,1)))/(INDEX('Shultis Faw'!$A$2:$A$26,MATCH($C682,'Shultis Faw'!$A$2:$A$26,1)+1)-INDEX('Shultis Faw'!$A$2:$A$26,MATCH($C682,'Shultis Faw'!$A$2:$A$26,1))),$C682*'Shultis Faw'!$E$2/'Shultis Faw'!$A$2)</f>
        <v>7.1743649999999992E-2</v>
      </c>
      <c r="M682" s="83">
        <f>_xlfn.IFNA(INDEX('Shultis Faw'!$F$2:$F$26,MATCH($C682,'Shultis Faw'!$A$2:$A$26,1))+($C682-INDEX('Shultis Faw'!$A$2:$A$26,MATCH($C682,'Shultis Faw'!$A$2:$A$26,1)))*(INDEX('Shultis Faw'!$F$2:$F$26,MATCH($C682,'Shultis Faw'!$A$2:$A$26,1)+1)-INDEX('Shultis Faw'!$F$2:$F$26,MATCH($C682,'Shultis Faw'!$A$2:$A$26,1)))/(INDEX('Shultis Faw'!$A$2:$A$26,MATCH($C682,'Shultis Faw'!$A$2:$A$26,1)+1)-INDEX('Shultis Faw'!$A$2:$A$26,MATCH($C682,'Shultis Faw'!$A$2:$A$26,1))),$C682*'Shultis Faw'!$F$2/'Shultis Faw'!$A$2)</f>
        <v>13.662455</v>
      </c>
      <c r="N682" s="83">
        <f>J682*(H682*'Externe blootstelling'!$D$23/2)^K682+L682*(TANH(((H682*'Externe blootstelling'!$D$23)/(2*M682))-2)-TANH(-2))/(1-TANH(-2))</f>
        <v>1.6782924560523043</v>
      </c>
      <c r="O682" s="83">
        <f>IF(N682=1,1+(I682-1)*H682*'Externe blootstelling'!$D$23/2,1+(I682-1)*(N682^(H682*'Externe blootstelling'!$D$23/2)-1)/(N682-1))</f>
        <v>20.836455563966105</v>
      </c>
      <c r="P682" s="67">
        <f>G682*EXP(-H682*'Externe blootstelling'!$D$23/2)*O682</f>
        <v>3.9340887426181919E-6</v>
      </c>
      <c r="Q682" s="68"/>
    </row>
    <row r="683" spans="1:17" x14ac:dyDescent="0.2">
      <c r="A683" s="217"/>
      <c r="B683" s="64" t="s">
        <v>102</v>
      </c>
      <c r="C683" s="66">
        <v>8.4952699999999992E-2</v>
      </c>
      <c r="D683" s="66">
        <f t="shared" si="43"/>
        <v>1.3592432E-14</v>
      </c>
      <c r="E683" s="66">
        <v>2.5999999999999997E-6</v>
      </c>
      <c r="F683" s="66">
        <f>_xlfn.IFNA(INDEX('hp (pSv cm2)'!$B$2:$B$52,MATCH($C683,'hp (pSv cm2)'!$A$2:$A$52,1))+($C683-INDEX('hp (pSv cm2)'!$A$2:$A$52,MATCH($C683,'hp (pSv cm2)'!$A$2:$A$52,1)))*(INDEX('hp (pSv cm2)'!$B$2:$B$52,MATCH($C683,'hp (pSv cm2)'!$A$2:$A$52,1)+1)-INDEX('hp (pSv cm2)'!$B$2:$B$52,MATCH($C683,'hp (pSv cm2)'!$A$2:$A$52,1)))/(INDEX('hp (pSv cm2)'!$A$2:$A$52,MATCH($C683,'hp (pSv cm2)'!$A$2:$A$52,1)+1)-INDEX('hp (pSv cm2)'!$A$2:$A$52,MATCH($C683,'hp (pSv cm2)'!$A$2:$A$52,1))),$C683*'hp (pSv cm2)'!$B$2/'hp (pSv cm2)'!$A$2)</f>
        <v>0.46157262499999996</v>
      </c>
      <c r="G683" s="67">
        <f t="shared" si="45"/>
        <v>1.2000888249999998E-6</v>
      </c>
      <c r="H683" s="83">
        <f>_xlfn.IFNA(0.997*(INDEX('Mass attenuation coefficients'!$B$2:$B$37,MATCH($C683,'Mass attenuation coefficients'!$A$2:$A$37,1))+($C683-INDEX('Mass attenuation coefficients'!$A$2:$A$37,MATCH($C683,'Mass attenuation coefficients'!$A$2:$A$37,1)))*(INDEX('Mass attenuation coefficients'!$B$2:$B$37,MATCH($C683,'Mass attenuation coefficients'!$A$2:$A$37,1)+1)-INDEX('Mass attenuation coefficients'!$B$2:$B$37,MATCH($C683,'Mass attenuation coefficients'!$A$2:$A$37,1)))/(INDEX('Mass attenuation coefficients'!$A$2:$A$37,MATCH($C683,'Mass attenuation coefficients'!$A$2:$A$37,1)+1)-INDEX('Mass attenuation coefficients'!$A$2:$A$37,MATCH($C683,'Mass attenuation coefficients'!$A$2:$A$37,1)))),0.997*$C683*'Mass attenuation coefficients'!$B$2/'Mass attenuation coefficients'!$A$2)</f>
        <v>0.179939302765</v>
      </c>
      <c r="I683" s="83">
        <f>_xlfn.IFNA(INDEX('Shultis Faw'!$C$2:$C$26,MATCH($C683,'Shultis Faw'!$A$2:$A$26,1))+($C683-INDEX('Shultis Faw'!$A$2:$A$26,MATCH($C683,'Shultis Faw'!$A$2:$A$26,1)))*(INDEX('Shultis Faw'!$C$2:$C$26,MATCH($C683,'Shultis Faw'!$A$2:$A$26,1)+1)-INDEX('Shultis Faw'!$C$2:$C$26,MATCH($C683,'Shultis Faw'!$A$2:$A$26,1)))/(INDEX('Shultis Faw'!$A$2:$A$26,MATCH($C683,'Shultis Faw'!$A$2:$A$26,1)+1)-INDEX('Shultis Faw'!$A$2:$A$26,MATCH($C683,'Shultis Faw'!$A$2:$A$26,1))),$C683*'Shultis Faw'!$C$2/'Shultis Faw'!$A$2)</f>
        <v>4.9609365400000005</v>
      </c>
      <c r="J683" s="83">
        <f>_xlfn.IFNA(INDEX('Shultis Faw'!$D$2:$D$26,MATCH($C683,'Shultis Faw'!$A$2:$A$26,1))+($C683-INDEX('Shultis Faw'!$A$2:$A$26,MATCH($C683,'Shultis Faw'!$A$2:$A$26,1)))*(INDEX('Shultis Faw'!$D$2:$D$26,MATCH($C683,'Shultis Faw'!$A$2:$A$26,1)+1)-INDEX('Shultis Faw'!$D$2:$D$26,MATCH($C683,'Shultis Faw'!$A$2:$A$26,1)))/(INDEX('Shultis Faw'!$A$2:$A$26,MATCH($C683,'Shultis Faw'!$A$2:$A$26,1)+1)-INDEX('Shultis Faw'!$A$2:$A$26,MATCH($C683,'Shultis Faw'!$A$2:$A$26,1))),$C683*'Shultis Faw'!$D$2/'Shultis Faw'!$A$2)</f>
        <v>2.09911687</v>
      </c>
      <c r="K683" s="83">
        <f>_xlfn.IFNA(INDEX('Shultis Faw'!$B$2:$B$26,MATCH($C683,'Shultis Faw'!$A$2:$A$26,1))+($C683-INDEX('Shultis Faw'!$A$2:$A$26,MATCH($C683,'Shultis Faw'!$A$2:$A$26,1)))*(INDEX('Shultis Faw'!$B$2:$B$26,MATCH($C683,'Shultis Faw'!$A$2:$A$26,1)+1)-INDEX('Shultis Faw'!$B$2:$B$26,MATCH($C683,'Shultis Faw'!$A$2:$A$26,1)))/(INDEX('Shultis Faw'!$A$2:$A$26,MATCH($C683,'Shultis Faw'!$A$2:$A$26,1)+1)-INDEX('Shultis Faw'!$A$2:$A$26,MATCH($C683,'Shultis Faw'!$A$2:$A$26,1))),$C683*'Shultis Faw'!$B$2/'Shultis Faw'!$A$2)</f>
        <v>-0.17245742999999999</v>
      </c>
      <c r="L683" s="83">
        <f>_xlfn.IFNA(INDEX('Shultis Faw'!$E$2:$E$26,MATCH($C683,'Shultis Faw'!$A$2:$A$26,1))+($C683-INDEX('Shultis Faw'!$A$2:$A$26,MATCH($C683,'Shultis Faw'!$A$2:$A$26,1)))*(INDEX('Shultis Faw'!$E$2:$E$26,MATCH($C683,'Shultis Faw'!$A$2:$A$26,1)+1)-INDEX('Shultis Faw'!$E$2:$E$26,MATCH($C683,'Shultis Faw'!$A$2:$A$26,1)))/(INDEX('Shultis Faw'!$A$2:$A$26,MATCH($C683,'Shultis Faw'!$A$2:$A$26,1)+1)-INDEX('Shultis Faw'!$A$2:$A$26,MATCH($C683,'Shultis Faw'!$A$2:$A$26,1))),$C683*'Shultis Faw'!$E$2/'Shultis Faw'!$A$2)</f>
        <v>7.8386756000000002E-2</v>
      </c>
      <c r="M683" s="83">
        <f>_xlfn.IFNA(INDEX('Shultis Faw'!$F$2:$F$26,MATCH($C683,'Shultis Faw'!$A$2:$A$26,1))+($C683-INDEX('Shultis Faw'!$A$2:$A$26,MATCH($C683,'Shultis Faw'!$A$2:$A$26,1)))*(INDEX('Shultis Faw'!$F$2:$F$26,MATCH($C683,'Shultis Faw'!$A$2:$A$26,1)+1)-INDEX('Shultis Faw'!$F$2:$F$26,MATCH($C683,'Shultis Faw'!$A$2:$A$26,1)))/(INDEX('Shultis Faw'!$A$2:$A$26,MATCH($C683,'Shultis Faw'!$A$2:$A$26,1)+1)-INDEX('Shultis Faw'!$A$2:$A$26,MATCH($C683,'Shultis Faw'!$A$2:$A$26,1))),$C683*'Shultis Faw'!$F$2/'Shultis Faw'!$A$2)</f>
        <v>13.585804100000001</v>
      </c>
      <c r="N683" s="83">
        <f>J683*(H683*'Externe blootstelling'!$D$23/2)^K683+L683*(TANH(((H683*'Externe blootstelling'!$D$23)/(2*M683))-2)-TANH(-2))/(1-TANH(-2))</f>
        <v>1.7694462607678387</v>
      </c>
      <c r="O683" s="83">
        <f>IF(N683=1,1+(I683-1)*H683*'Externe blootstelling'!$D$23/2,1+(I683-1)*(N683^(H683*'Externe blootstelling'!$D$23/2)-1)/(N683-1))</f>
        <v>19.871221385009456</v>
      </c>
      <c r="P683" s="67">
        <f>G683*EXP(-H683*'Externe blootstelling'!$D$23/2)*O683</f>
        <v>1.6041251929804948E-6</v>
      </c>
      <c r="Q683" s="68"/>
    </row>
    <row r="684" spans="1:17" x14ac:dyDescent="0.2">
      <c r="A684" s="217"/>
      <c r="B684" s="64" t="s">
        <v>102</v>
      </c>
      <c r="C684" s="66">
        <v>8.757630000000001E-2</v>
      </c>
      <c r="D684" s="66">
        <f t="shared" si="43"/>
        <v>1.4012208E-14</v>
      </c>
      <c r="E684" s="66">
        <v>7.7999999999999994E-7</v>
      </c>
      <c r="F684" s="66">
        <f>_xlfn.IFNA(INDEX('hp (pSv cm2)'!$B$2:$B$52,MATCH($C684,'hp (pSv cm2)'!$A$2:$A$52,1))+($C684-INDEX('hp (pSv cm2)'!$A$2:$A$52,MATCH($C684,'hp (pSv cm2)'!$A$2:$A$52,1)))*(INDEX('hp (pSv cm2)'!$B$2:$B$52,MATCH($C684,'hp (pSv cm2)'!$A$2:$A$52,1)+1)-INDEX('hp (pSv cm2)'!$B$2:$B$52,MATCH($C684,'hp (pSv cm2)'!$A$2:$A$52,1)))/(INDEX('hp (pSv cm2)'!$A$2:$A$52,MATCH($C684,'hp (pSv cm2)'!$A$2:$A$52,1)+1)-INDEX('hp (pSv cm2)'!$A$2:$A$52,MATCH($C684,'hp (pSv cm2)'!$A$2:$A$52,1))),$C684*'hp (pSv cm2)'!$B$2/'hp (pSv cm2)'!$A$2)</f>
        <v>0.47141112500000004</v>
      </c>
      <c r="G684" s="67">
        <f t="shared" si="45"/>
        <v>3.6770067750000001E-7</v>
      </c>
      <c r="H684" s="83">
        <f>_xlfn.IFNA(0.997*(INDEX('Mass attenuation coefficients'!$B$2:$B$37,MATCH($C684,'Mass attenuation coefficients'!$A$2:$A$37,1))+($C684-INDEX('Mass attenuation coefficients'!$A$2:$A$37,MATCH($C684,'Mass attenuation coefficients'!$A$2:$A$37,1)))*(INDEX('Mass attenuation coefficients'!$B$2:$B$37,MATCH($C684,'Mass attenuation coefficients'!$A$2:$A$37,1)+1)-INDEX('Mass attenuation coefficients'!$B$2:$B$37,MATCH($C684,'Mass attenuation coefficients'!$A$2:$A$37,1)))/(INDEX('Mass attenuation coefficients'!$A$2:$A$37,MATCH($C684,'Mass attenuation coefficients'!$A$2:$A$37,1)+1)-INDEX('Mass attenuation coefficients'!$A$2:$A$37,MATCH($C684,'Mass attenuation coefficients'!$A$2:$A$37,1)))),0.997*$C684*'Mass attenuation coefficients'!$B$2/'Mass attenuation coefficients'!$A$2)</f>
        <v>0.178239078785</v>
      </c>
      <c r="I684" s="83">
        <f>_xlfn.IFNA(INDEX('Shultis Faw'!$C$2:$C$26,MATCH($C684,'Shultis Faw'!$A$2:$A$26,1))+($C684-INDEX('Shultis Faw'!$A$2:$A$26,MATCH($C684,'Shultis Faw'!$A$2:$A$26,1)))*(INDEX('Shultis Faw'!$C$2:$C$26,MATCH($C684,'Shultis Faw'!$A$2:$A$26,1)+1)-INDEX('Shultis Faw'!$C$2:$C$26,MATCH($C684,'Shultis Faw'!$A$2:$A$26,1)))/(INDEX('Shultis Faw'!$A$2:$A$26,MATCH($C684,'Shultis Faw'!$A$2:$A$26,1)+1)-INDEX('Shultis Faw'!$A$2:$A$26,MATCH($C684,'Shultis Faw'!$A$2:$A$26,1))),$C684*'Shultis Faw'!$C$2/'Shultis Faw'!$A$2)</f>
        <v>4.9089892600000002</v>
      </c>
      <c r="J684" s="83">
        <f>_xlfn.IFNA(INDEX('Shultis Faw'!$D$2:$D$26,MATCH($C684,'Shultis Faw'!$A$2:$A$26,1))+($C684-INDEX('Shultis Faw'!$A$2:$A$26,MATCH($C684,'Shultis Faw'!$A$2:$A$26,1)))*(INDEX('Shultis Faw'!$D$2:$D$26,MATCH($C684,'Shultis Faw'!$A$2:$A$26,1)+1)-INDEX('Shultis Faw'!$D$2:$D$26,MATCH($C684,'Shultis Faw'!$A$2:$A$26,1)))/(INDEX('Shultis Faw'!$A$2:$A$26,MATCH($C684,'Shultis Faw'!$A$2:$A$26,1)+1)-INDEX('Shultis Faw'!$A$2:$A$26,MATCH($C684,'Shultis Faw'!$A$2:$A$26,1))),$C684*'Shultis Faw'!$D$2/'Shultis Faw'!$A$2)</f>
        <v>2.1203680300000003</v>
      </c>
      <c r="K684" s="83">
        <f>_xlfn.IFNA(INDEX('Shultis Faw'!$B$2:$B$26,MATCH($C684,'Shultis Faw'!$A$2:$A$26,1))+($C684-INDEX('Shultis Faw'!$A$2:$A$26,MATCH($C684,'Shultis Faw'!$A$2:$A$26,1)))*(INDEX('Shultis Faw'!$B$2:$B$26,MATCH($C684,'Shultis Faw'!$A$2:$A$26,1)+1)-INDEX('Shultis Faw'!$B$2:$B$26,MATCH($C684,'Shultis Faw'!$A$2:$A$26,1)))/(INDEX('Shultis Faw'!$A$2:$A$26,MATCH($C684,'Shultis Faw'!$A$2:$A$26,1)+1)-INDEX('Shultis Faw'!$A$2:$A$26,MATCH($C684,'Shultis Faw'!$A$2:$A$26,1))),$C684*'Shultis Faw'!$B$2/'Shultis Faw'!$A$2)</f>
        <v>-0.17481867000000001</v>
      </c>
      <c r="L684" s="83">
        <f>_xlfn.IFNA(INDEX('Shultis Faw'!$E$2:$E$26,MATCH($C684,'Shultis Faw'!$A$2:$A$26,1))+($C684-INDEX('Shultis Faw'!$A$2:$A$26,MATCH($C684,'Shultis Faw'!$A$2:$A$26,1)))*(INDEX('Shultis Faw'!$E$2:$E$26,MATCH($C684,'Shultis Faw'!$A$2:$A$26,1)+1)-INDEX('Shultis Faw'!$E$2:$E$26,MATCH($C684,'Shultis Faw'!$A$2:$A$26,1)))/(INDEX('Shultis Faw'!$A$2:$A$26,MATCH($C684,'Shultis Faw'!$A$2:$A$26,1)+1)-INDEX('Shultis Faw'!$A$2:$A$26,MATCH($C684,'Shultis Faw'!$A$2:$A$26,1))),$C684*'Shultis Faw'!$E$2/'Shultis Faw'!$A$2)</f>
        <v>7.9121364E-2</v>
      </c>
      <c r="M684" s="83">
        <f>_xlfn.IFNA(INDEX('Shultis Faw'!$F$2:$F$26,MATCH($C684,'Shultis Faw'!$A$2:$A$26,1))+($C684-INDEX('Shultis Faw'!$A$2:$A$26,MATCH($C684,'Shultis Faw'!$A$2:$A$26,1)))*(INDEX('Shultis Faw'!$F$2:$F$26,MATCH($C684,'Shultis Faw'!$A$2:$A$26,1)+1)-INDEX('Shultis Faw'!$F$2:$F$26,MATCH($C684,'Shultis Faw'!$A$2:$A$26,1)))/(INDEX('Shultis Faw'!$A$2:$A$26,MATCH($C684,'Shultis Faw'!$A$2:$A$26,1)+1)-INDEX('Shultis Faw'!$A$2:$A$26,MATCH($C684,'Shultis Faw'!$A$2:$A$26,1))),$C684*'Shultis Faw'!$F$2/'Shultis Faw'!$A$2)</f>
        <v>13.5412029</v>
      </c>
      <c r="N684" s="83">
        <f>J684*(H684*'Externe blootstelling'!$D$23/2)^K684+L684*(TANH(((H684*'Externe blootstelling'!$D$23)/(2*M684))-2)-TANH(-2))/(1-TANH(-2))</f>
        <v>1.7861311386611352</v>
      </c>
      <c r="O684" s="83">
        <f>IF(N684=1,1+(I684-1)*H684*'Externe blootstelling'!$D$23/2,1+(I684-1)*(N684^(H684*'Externe blootstelling'!$D$23/2)-1)/(N684-1))</f>
        <v>19.474249029157679</v>
      </c>
      <c r="P684" s="67">
        <f>G684*EXP(-H684*'Externe blootstelling'!$D$23/2)*O684</f>
        <v>4.941188519865425E-7</v>
      </c>
      <c r="Q684" s="68"/>
    </row>
    <row r="685" spans="1:17" x14ac:dyDescent="0.2">
      <c r="A685" s="218"/>
      <c r="B685" s="64" t="s">
        <v>104</v>
      </c>
      <c r="C685" s="66">
        <v>0.43889999999999996</v>
      </c>
      <c r="D685" s="66">
        <f t="shared" si="43"/>
        <v>7.0223999999999989E-14</v>
      </c>
      <c r="E685" s="66">
        <v>5.8E-4</v>
      </c>
      <c r="F685" s="66">
        <f>_xlfn.IFNA(INDEX('hp (pSv cm2)'!$B$2:$B$52,MATCH($C685,'hp (pSv cm2)'!$A$2:$A$52,1))+($C685-INDEX('hp (pSv cm2)'!$A$2:$A$52,MATCH($C685,'hp (pSv cm2)'!$A$2:$A$52,1)))*(INDEX('hp (pSv cm2)'!$B$2:$B$52,MATCH($C685,'hp (pSv cm2)'!$A$2:$A$52,1)+1)-INDEX('hp (pSv cm2)'!$B$2:$B$52,MATCH($C685,'hp (pSv cm2)'!$A$2:$A$52,1)))/(INDEX('hp (pSv cm2)'!$A$2:$A$52,MATCH($C685,'hp (pSv cm2)'!$A$2:$A$52,1)+1)-INDEX('hp (pSv cm2)'!$A$2:$A$52,MATCH($C685,'hp (pSv cm2)'!$A$2:$A$52,1))),$C685*'hp (pSv cm2)'!$B$2/'hp (pSv cm2)'!$A$2)</f>
        <v>2.1828299999999996</v>
      </c>
      <c r="G685" s="67">
        <f t="shared" si="45"/>
        <v>1.2660413999999998E-3</v>
      </c>
      <c r="H685" s="83">
        <f>_xlfn.IFNA(0.997*(INDEX('Mass attenuation coefficients'!$B$2:$B$37,MATCH($C685,'Mass attenuation coefficients'!$A$2:$A$37,1))+($C685-INDEX('Mass attenuation coefficients'!$A$2:$A$37,MATCH($C685,'Mass attenuation coefficients'!$A$2:$A$37,1)))*(INDEX('Mass attenuation coefficients'!$B$2:$B$37,MATCH($C685,'Mass attenuation coefficients'!$A$2:$A$37,1)+1)-INDEX('Mass attenuation coefficients'!$B$2:$B$37,MATCH($C685,'Mass attenuation coefficients'!$A$2:$A$37,1)))/(INDEX('Mass attenuation coefficients'!$A$2:$A$37,MATCH($C685,'Mass attenuation coefficients'!$A$2:$A$37,1)+1)-INDEX('Mass attenuation coefficients'!$A$2:$A$37,MATCH($C685,'Mass attenuation coefficients'!$A$2:$A$37,1)))),0.997*$C685*'Mass attenuation coefficients'!$B$2/'Mass attenuation coefficients'!$A$2)</f>
        <v>0.10220200141000001</v>
      </c>
      <c r="I685" s="83">
        <f>_xlfn.IFNA(INDEX('Shultis Faw'!$C$2:$C$26,MATCH($C685,'Shultis Faw'!$A$2:$A$26,1))+($C685-INDEX('Shultis Faw'!$A$2:$A$26,MATCH($C685,'Shultis Faw'!$A$2:$A$26,1)))*(INDEX('Shultis Faw'!$C$2:$C$26,MATCH($C685,'Shultis Faw'!$A$2:$A$26,1)+1)-INDEX('Shultis Faw'!$C$2:$C$26,MATCH($C685,'Shultis Faw'!$A$2:$A$26,1)))/(INDEX('Shultis Faw'!$A$2:$A$26,MATCH($C685,'Shultis Faw'!$A$2:$A$26,1)+1)-INDEX('Shultis Faw'!$A$2:$A$26,MATCH($C685,'Shultis Faw'!$A$2:$A$26,1))),$C685*'Shultis Faw'!$C$2/'Shultis Faw'!$A$2)</f>
        <v>2.5977600000000001</v>
      </c>
      <c r="J685" s="83">
        <f>_xlfn.IFNA(INDEX('Shultis Faw'!$D$2:$D$26,MATCH($C685,'Shultis Faw'!$A$2:$A$26,1))+($C685-INDEX('Shultis Faw'!$A$2:$A$26,MATCH($C685,'Shultis Faw'!$A$2:$A$26,1)))*(INDEX('Shultis Faw'!$D$2:$D$26,MATCH($C685,'Shultis Faw'!$A$2:$A$26,1)+1)-INDEX('Shultis Faw'!$D$2:$D$26,MATCH($C685,'Shultis Faw'!$A$2:$A$26,1)))/(INDEX('Shultis Faw'!$A$2:$A$26,MATCH($C685,'Shultis Faw'!$A$2:$A$26,1)+1)-INDEX('Shultis Faw'!$A$2:$A$26,MATCH($C685,'Shultis Faw'!$A$2:$A$26,1))),$C685*'Shultis Faw'!$D$2/'Shultis Faw'!$A$2)</f>
        <v>1.836876</v>
      </c>
      <c r="K685" s="83">
        <f>_xlfn.IFNA(INDEX('Shultis Faw'!$B$2:$B$26,MATCH($C685,'Shultis Faw'!$A$2:$A$26,1))+($C685-INDEX('Shultis Faw'!$A$2:$A$26,MATCH($C685,'Shultis Faw'!$A$2:$A$26,1)))*(INDEX('Shultis Faw'!$B$2:$B$26,MATCH($C685,'Shultis Faw'!$A$2:$A$26,1)+1)-INDEX('Shultis Faw'!$B$2:$B$26,MATCH($C685,'Shultis Faw'!$A$2:$A$26,1)))/(INDEX('Shultis Faw'!$A$2:$A$26,MATCH($C685,'Shultis Faw'!$A$2:$A$26,1)+1)-INDEX('Shultis Faw'!$A$2:$A$26,MATCH($C685,'Shultis Faw'!$A$2:$A$26,1))),$C685*'Shultis Faw'!$B$2/'Shultis Faw'!$A$2)</f>
        <v>-0.14355400000000001</v>
      </c>
      <c r="L685" s="83">
        <f>_xlfn.IFNA(INDEX('Shultis Faw'!$E$2:$E$26,MATCH($C685,'Shultis Faw'!$A$2:$A$26,1))+($C685-INDEX('Shultis Faw'!$A$2:$A$26,MATCH($C685,'Shultis Faw'!$A$2:$A$26,1)))*(INDEX('Shultis Faw'!$E$2:$E$26,MATCH($C685,'Shultis Faw'!$A$2:$A$26,1)+1)-INDEX('Shultis Faw'!$E$2:$E$26,MATCH($C685,'Shultis Faw'!$A$2:$A$26,1)))/(INDEX('Shultis Faw'!$A$2:$A$26,MATCH($C685,'Shultis Faw'!$A$2:$A$26,1)+1)-INDEX('Shultis Faw'!$A$2:$A$26,MATCH($C685,'Shultis Faw'!$A$2:$A$26,1))),$C685*'Shultis Faw'!$E$2/'Shultis Faw'!$A$2)</f>
        <v>5.7593900000000003E-2</v>
      </c>
      <c r="M685" s="83">
        <f>_xlfn.IFNA(INDEX('Shultis Faw'!$F$2:$F$26,MATCH($C685,'Shultis Faw'!$A$2:$A$26,1))+($C685-INDEX('Shultis Faw'!$A$2:$A$26,MATCH($C685,'Shultis Faw'!$A$2:$A$26,1)))*(INDEX('Shultis Faw'!$F$2:$F$26,MATCH($C685,'Shultis Faw'!$A$2:$A$26,1)+1)-INDEX('Shultis Faw'!$F$2:$F$26,MATCH($C685,'Shultis Faw'!$A$2:$A$26,1)))/(INDEX('Shultis Faw'!$A$2:$A$26,MATCH($C685,'Shultis Faw'!$A$2:$A$26,1)+1)-INDEX('Shultis Faw'!$A$2:$A$26,MATCH($C685,'Shultis Faw'!$A$2:$A$26,1))),$C685*'Shultis Faw'!$F$2/'Shultis Faw'!$A$2)</f>
        <v>14.27501</v>
      </c>
      <c r="N685" s="83">
        <f>J685*(H685*'Externe blootstelling'!$D$23/2)^K685+L685*(TANH(((H685*'Externe blootstelling'!$D$23)/(2*M685))-2)-TANH(-2))/(1-TANH(-2))</f>
        <v>1.7278475490314673</v>
      </c>
      <c r="O685" s="83">
        <f>IF(N685=1,1+(I685-1)*H685*'Externe blootstelling'!$D$23/2,1+(I685-1)*(N685^(H685*'Externe blootstelling'!$D$23/2)-1)/(N685-1))</f>
        <v>3.8814280761239299</v>
      </c>
      <c r="P685" s="67">
        <f>G685*EXP(-H685*'Externe blootstelling'!$D$23/2)*O685</f>
        <v>1.0608475352835935E-3</v>
      </c>
      <c r="Q685" s="68"/>
    </row>
    <row r="686" spans="1:17" x14ac:dyDescent="0.2">
      <c r="A686" s="216" t="s">
        <v>154</v>
      </c>
      <c r="B686" s="64" t="s">
        <v>102</v>
      </c>
      <c r="C686" s="66">
        <v>1.2564550000000001E-2</v>
      </c>
      <c r="D686" s="66">
        <f t="shared" si="43"/>
        <v>2.010328E-15</v>
      </c>
      <c r="E686" s="66">
        <v>4.9399999999999999E-3</v>
      </c>
      <c r="F686" s="66">
        <f>_xlfn.IFNA(INDEX('hp (pSv cm2)'!$B$2:$B$52,MATCH($C686,'hp (pSv cm2)'!$A$2:$A$52,1))+($C686-INDEX('hp (pSv cm2)'!$A$2:$A$52,MATCH($C686,'hp (pSv cm2)'!$A$2:$A$52,1)))*(INDEX('hp (pSv cm2)'!$B$2:$B$52,MATCH($C686,'hp (pSv cm2)'!$A$2:$A$52,1)+1)-INDEX('hp (pSv cm2)'!$B$2:$B$52,MATCH($C686,'hp (pSv cm2)'!$A$2:$A$52,1)))/(INDEX('hp (pSv cm2)'!$A$2:$A$52,MATCH($C686,'hp (pSv cm2)'!$A$2:$A$52,1)+1)-INDEX('hp (pSv cm2)'!$A$2:$A$52,MATCH($C686,'hp (pSv cm2)'!$A$2:$A$52,1))),$C686*'hp (pSv cm2)'!$B$2/'hp (pSv cm2)'!$A$2)</f>
        <v>0.11459735000000001</v>
      </c>
      <c r="G686" s="67">
        <f t="shared" si="45"/>
        <v>5.6611090900000004E-4</v>
      </c>
      <c r="H686" s="83">
        <f>_xlfn.IFNA(0.997*(INDEX('Mass attenuation coefficients'!$B$2:$B$37,MATCH($C686,'Mass attenuation coefficients'!$A$2:$A$37,1))+($C686-INDEX('Mass attenuation coefficients'!$A$2:$A$37,MATCH($C686,'Mass attenuation coefficients'!$A$2:$A$37,1)))*(INDEX('Mass attenuation coefficients'!$B$2:$B$37,MATCH($C686,'Mass attenuation coefficients'!$A$2:$A$37,1)+1)-INDEX('Mass attenuation coefficients'!$B$2:$B$37,MATCH($C686,'Mass attenuation coefficients'!$A$2:$A$37,1)))/(INDEX('Mass attenuation coefficients'!$A$2:$A$37,MATCH($C686,'Mass attenuation coefficients'!$A$2:$A$37,1)+1)-INDEX('Mass attenuation coefficients'!$A$2:$A$37,MATCH($C686,'Mass attenuation coefficients'!$A$2:$A$37,1)))),0.997*$C686*'Mass attenuation coefficients'!$B$2/'Mass attenuation coefficients'!$A$2)</f>
        <v>3.4434396368799991</v>
      </c>
      <c r="I686" s="83">
        <f>_xlfn.IFNA(INDEX('Shultis Faw'!$C$2:$C$26,MATCH($C686,'Shultis Faw'!$A$2:$A$26,1))+($C686-INDEX('Shultis Faw'!$A$2:$A$26,MATCH($C686,'Shultis Faw'!$A$2:$A$26,1)))*(INDEX('Shultis Faw'!$C$2:$C$26,MATCH($C686,'Shultis Faw'!$A$2:$A$26,1)+1)-INDEX('Shultis Faw'!$C$2:$C$26,MATCH($C686,'Shultis Faw'!$A$2:$A$26,1)))/(INDEX('Shultis Faw'!$A$2:$A$26,MATCH($C686,'Shultis Faw'!$A$2:$A$26,1)+1)-INDEX('Shultis Faw'!$A$2:$A$26,MATCH($C686,'Shultis Faw'!$A$2:$A$26,1))),$C686*'Shultis Faw'!$C$2/'Shultis Faw'!$A$2)</f>
        <v>0.99008654000000007</v>
      </c>
      <c r="J686" s="83">
        <f>_xlfn.IFNA(INDEX('Shultis Faw'!$D$2:$D$26,MATCH($C686,'Shultis Faw'!$A$2:$A$26,1))+($C686-INDEX('Shultis Faw'!$A$2:$A$26,MATCH($C686,'Shultis Faw'!$A$2:$A$26,1)))*(INDEX('Shultis Faw'!$D$2:$D$26,MATCH($C686,'Shultis Faw'!$A$2:$A$26,1)+1)-INDEX('Shultis Faw'!$D$2:$D$26,MATCH($C686,'Shultis Faw'!$A$2:$A$26,1)))/(INDEX('Shultis Faw'!$A$2:$A$26,MATCH($C686,'Shultis Faw'!$A$2:$A$26,1)+1)-INDEX('Shultis Faw'!$A$2:$A$26,MATCH($C686,'Shultis Faw'!$A$2:$A$26,1))),$C686*'Shultis Faw'!$D$2/'Shultis Faw'!$A$2)</f>
        <v>0.38782577666666673</v>
      </c>
      <c r="K686" s="83">
        <f>_xlfn.IFNA(INDEX('Shultis Faw'!$B$2:$B$26,MATCH($C686,'Shultis Faw'!$A$2:$A$26,1))+($C686-INDEX('Shultis Faw'!$A$2:$A$26,MATCH($C686,'Shultis Faw'!$A$2:$A$26,1)))*(INDEX('Shultis Faw'!$B$2:$B$26,MATCH($C686,'Shultis Faw'!$A$2:$A$26,1)+1)-INDEX('Shultis Faw'!$B$2:$B$26,MATCH($C686,'Shultis Faw'!$A$2:$A$26,1)))/(INDEX('Shultis Faw'!$A$2:$A$26,MATCH($C686,'Shultis Faw'!$A$2:$A$26,1)+1)-INDEX('Shultis Faw'!$A$2:$A$26,MATCH($C686,'Shultis Faw'!$A$2:$A$26,1))),$C686*'Shultis Faw'!$B$2/'Shultis Faw'!$A$2)</f>
        <v>0.14407350666666668</v>
      </c>
      <c r="L686" s="83">
        <f>_xlfn.IFNA(INDEX('Shultis Faw'!$E$2:$E$26,MATCH($C686,'Shultis Faw'!$A$2:$A$26,1))+($C686-INDEX('Shultis Faw'!$A$2:$A$26,MATCH($C686,'Shultis Faw'!$A$2:$A$26,1)))*(INDEX('Shultis Faw'!$E$2:$E$26,MATCH($C686,'Shultis Faw'!$A$2:$A$26,1)+1)-INDEX('Shultis Faw'!$E$2:$E$26,MATCH($C686,'Shultis Faw'!$A$2:$A$26,1)))/(INDEX('Shultis Faw'!$A$2:$A$26,MATCH($C686,'Shultis Faw'!$A$2:$A$26,1)+1)-INDEX('Shultis Faw'!$A$2:$A$26,MATCH($C686,'Shultis Faw'!$A$2:$A$26,1))),$C686*'Shultis Faw'!$E$2/'Shultis Faw'!$A$2)</f>
        <v>-7.605740933333334E-2</v>
      </c>
      <c r="M686" s="83">
        <f>_xlfn.IFNA(INDEX('Shultis Faw'!$F$2:$F$26,MATCH($C686,'Shultis Faw'!$A$2:$A$26,1))+($C686-INDEX('Shultis Faw'!$A$2:$A$26,MATCH($C686,'Shultis Faw'!$A$2:$A$26,1)))*(INDEX('Shultis Faw'!$F$2:$F$26,MATCH($C686,'Shultis Faw'!$A$2:$A$26,1)+1)-INDEX('Shultis Faw'!$F$2:$F$26,MATCH($C686,'Shultis Faw'!$A$2:$A$26,1)))/(INDEX('Shultis Faw'!$A$2:$A$26,MATCH($C686,'Shultis Faw'!$A$2:$A$26,1)+1)-INDEX('Shultis Faw'!$A$2:$A$26,MATCH($C686,'Shultis Faw'!$A$2:$A$26,1))),$C686*'Shultis Faw'!$F$2/'Shultis Faw'!$A$2)</f>
        <v>11.919569766666667</v>
      </c>
      <c r="N686" s="83">
        <f>J686*(H686*'Externe blootstelling'!$D$23/2)^K686+L686*(TANH(((H686*'Externe blootstelling'!$D$23)/(2*M686))-2)-TANH(-2))/(1-TANH(-2))</f>
        <v>0.60927948108347751</v>
      </c>
      <c r="O686" s="83">
        <f>IF(N686=1,1+(I686-1)*H686*'Externe blootstelling'!$D$23/2,1+(I686-1)*(N686^(H686*'Externe blootstelling'!$D$23/2)-1)/(N686-1))</f>
        <v>0.9746277466373815</v>
      </c>
      <c r="P686" s="67">
        <f>G686*EXP(-H686*'Externe blootstelling'!$D$23/2)*O686</f>
        <v>2.0405056377309585E-26</v>
      </c>
      <c r="Q686" s="68"/>
    </row>
    <row r="687" spans="1:17" x14ac:dyDescent="0.2">
      <c r="A687" s="217"/>
      <c r="B687" s="64" t="s">
        <v>104</v>
      </c>
      <c r="C687" s="66">
        <v>6.5304000000000001E-2</v>
      </c>
      <c r="D687" s="66">
        <f t="shared" ref="D687:D726" si="46">C687*1000000*1.6E-19</f>
        <v>1.0448639999999999E-14</v>
      </c>
      <c r="E687" s="66">
        <v>7.6999999999999996E-4</v>
      </c>
      <c r="F687" s="66">
        <f>_xlfn.IFNA(INDEX('hp (pSv cm2)'!$B$2:$B$52,MATCH($C687,'hp (pSv cm2)'!$A$2:$A$52,1))+($C687-INDEX('hp (pSv cm2)'!$A$2:$A$52,MATCH($C687,'hp (pSv cm2)'!$A$2:$A$52,1)))*(INDEX('hp (pSv cm2)'!$B$2:$B$52,MATCH($C687,'hp (pSv cm2)'!$A$2:$A$52,1)+1)-INDEX('hp (pSv cm2)'!$B$2:$B$52,MATCH($C687,'hp (pSv cm2)'!$A$2:$A$52,1)))/(INDEX('hp (pSv cm2)'!$A$2:$A$52,MATCH($C687,'hp (pSv cm2)'!$A$2:$A$52,1)+1)-INDEX('hp (pSv cm2)'!$A$2:$A$52,MATCH($C687,'hp (pSv cm2)'!$A$2:$A$52,1))),$C687*'hp (pSv cm2)'!$B$2/'hp (pSv cm2)'!$A$2)</f>
        <v>0.40066879999999999</v>
      </c>
      <c r="G687" s="67">
        <f t="shared" ref="G687:G718" si="47">F687*E687</f>
        <v>3.0851497599999997E-4</v>
      </c>
      <c r="H687" s="83">
        <f>_xlfn.IFNA(0.997*(INDEX('Mass attenuation coefficients'!$B$2:$B$37,MATCH($C687,'Mass attenuation coefficients'!$A$2:$A$37,1))+($C687-INDEX('Mass attenuation coefficients'!$A$2:$A$37,MATCH($C687,'Mass attenuation coefficients'!$A$2:$A$37,1)))*(INDEX('Mass attenuation coefficients'!$B$2:$B$37,MATCH($C687,'Mass attenuation coefficients'!$A$2:$A$37,1)+1)-INDEX('Mass attenuation coefficients'!$B$2:$B$37,MATCH($C687,'Mass attenuation coefficients'!$A$2:$A$37,1)))/(INDEX('Mass attenuation coefficients'!$A$2:$A$37,MATCH($C687,'Mass attenuation coefficients'!$A$2:$A$37,1)+1)-INDEX('Mass attenuation coefficients'!$A$2:$A$37,MATCH($C687,'Mass attenuation coefficients'!$A$2:$A$37,1)))),0.997*$C687*'Mass attenuation coefficients'!$B$2/'Mass attenuation coefficients'!$A$2)</f>
        <v>0.19941252232000001</v>
      </c>
      <c r="I687" s="83">
        <f>_xlfn.IFNA(INDEX('Shultis Faw'!$C$2:$C$26,MATCH($C687,'Shultis Faw'!$A$2:$A$26,1))+($C687-INDEX('Shultis Faw'!$A$2:$A$26,MATCH($C687,'Shultis Faw'!$A$2:$A$26,1)))*(INDEX('Shultis Faw'!$C$2:$C$26,MATCH($C687,'Shultis Faw'!$A$2:$A$26,1)+1)-INDEX('Shultis Faw'!$C$2:$C$26,MATCH($C687,'Shultis Faw'!$A$2:$A$26,1)))/(INDEX('Shultis Faw'!$A$2:$A$26,MATCH($C687,'Shultis Faw'!$A$2:$A$26,1)+1)-INDEX('Shultis Faw'!$A$2:$A$26,MATCH($C687,'Shultis Faw'!$A$2:$A$26,1))),$C687*'Shultis Faw'!$C$2/'Shultis Faw'!$A$2)</f>
        <v>5.0031552000000001</v>
      </c>
      <c r="J687" s="83">
        <f>_xlfn.IFNA(INDEX('Shultis Faw'!$D$2:$D$26,MATCH($C687,'Shultis Faw'!$A$2:$A$26,1))+($C687-INDEX('Shultis Faw'!$A$2:$A$26,MATCH($C687,'Shultis Faw'!$A$2:$A$26,1)))*(INDEX('Shultis Faw'!$D$2:$D$26,MATCH($C687,'Shultis Faw'!$A$2:$A$26,1)+1)-INDEX('Shultis Faw'!$D$2:$D$26,MATCH($C687,'Shultis Faw'!$A$2:$A$26,1)))/(INDEX('Shultis Faw'!$A$2:$A$26,MATCH($C687,'Shultis Faw'!$A$2:$A$26,1)+1)-INDEX('Shultis Faw'!$A$2:$A$26,MATCH($C687,'Shultis Faw'!$A$2:$A$26,1))),$C687*'Shultis Faw'!$D$2/'Shultis Faw'!$A$2)</f>
        <v>1.8172508000000001</v>
      </c>
      <c r="K687" s="83">
        <f>_xlfn.IFNA(INDEX('Shultis Faw'!$B$2:$B$26,MATCH($C687,'Shultis Faw'!$A$2:$A$26,1))+($C687-INDEX('Shultis Faw'!$A$2:$A$26,MATCH($C687,'Shultis Faw'!$A$2:$A$26,1)))*(INDEX('Shultis Faw'!$B$2:$B$26,MATCH($C687,'Shultis Faw'!$A$2:$A$26,1)+1)-INDEX('Shultis Faw'!$B$2:$B$26,MATCH($C687,'Shultis Faw'!$A$2:$A$26,1)))/(INDEX('Shultis Faw'!$A$2:$A$26,MATCH($C687,'Shultis Faw'!$A$2:$A$26,1)+1)-INDEX('Shultis Faw'!$A$2:$A$26,MATCH($C687,'Shultis Faw'!$A$2:$A$26,1))),$C687*'Shultis Faw'!$B$2/'Shultis Faw'!$A$2)</f>
        <v>-0.13713840000000002</v>
      </c>
      <c r="L687" s="83">
        <f>_xlfn.IFNA(INDEX('Shultis Faw'!$E$2:$E$26,MATCH($C687,'Shultis Faw'!$A$2:$A$26,1))+($C687-INDEX('Shultis Faw'!$A$2:$A$26,MATCH($C687,'Shultis Faw'!$A$2:$A$26,1)))*(INDEX('Shultis Faw'!$E$2:$E$26,MATCH($C687,'Shultis Faw'!$A$2:$A$26,1)+1)-INDEX('Shultis Faw'!$E$2:$E$26,MATCH($C687,'Shultis Faw'!$A$2:$A$26,1)))/(INDEX('Shultis Faw'!$A$2:$A$26,MATCH($C687,'Shultis Faw'!$A$2:$A$26,1)+1)-INDEX('Shultis Faw'!$A$2:$A$26,MATCH($C687,'Shultis Faw'!$A$2:$A$26,1))),$C687*'Shultis Faw'!$E$2/'Shultis Faw'!$A$2)</f>
        <v>6.1642679999999998E-2</v>
      </c>
      <c r="M687" s="83">
        <f>_xlfn.IFNA(INDEX('Shultis Faw'!$F$2:$F$26,MATCH($C687,'Shultis Faw'!$A$2:$A$26,1))+($C687-INDEX('Shultis Faw'!$A$2:$A$26,MATCH($C687,'Shultis Faw'!$A$2:$A$26,1)))*(INDEX('Shultis Faw'!$F$2:$F$26,MATCH($C687,'Shultis Faw'!$A$2:$A$26,1)+1)-INDEX('Shultis Faw'!$F$2:$F$26,MATCH($C687,'Shultis Faw'!$A$2:$A$26,1)))/(INDEX('Shultis Faw'!$A$2:$A$26,MATCH($C687,'Shultis Faw'!$A$2:$A$26,1)+1)-INDEX('Shultis Faw'!$A$2:$A$26,MATCH($C687,'Shultis Faw'!$A$2:$A$26,1))),$C687*'Shultis Faw'!$F$2/'Shultis Faw'!$A$2)</f>
        <v>13.647956000000001</v>
      </c>
      <c r="N687" s="83">
        <f>J687*(H687*'Externe blootstelling'!$D$23/2)^K687+L687*(TANH(((H687*'Externe blootstelling'!$D$23)/(2*M687))-2)-TANH(-2))/(1-TANH(-2))</f>
        <v>1.5643219263470303</v>
      </c>
      <c r="O687" s="83">
        <f>IF(N687=1,1+(I687-1)*H687*'Externe blootstelling'!$D$23/2,1+(I687-1)*(N687^(H687*'Externe blootstelling'!$D$23/2)-1)/(N687-1))</f>
        <v>20.954649078679292</v>
      </c>
      <c r="P687" s="67">
        <f>G687*EXP(-H687*'Externe blootstelling'!$D$23/2)*O687</f>
        <v>3.2471344533954038E-4</v>
      </c>
      <c r="Q687" s="68"/>
    </row>
    <row r="688" spans="1:17" x14ac:dyDescent="0.2">
      <c r="A688" s="217"/>
      <c r="B688" s="64" t="s">
        <v>102</v>
      </c>
      <c r="C688" s="66">
        <v>7.4815700000000013E-2</v>
      </c>
      <c r="D688" s="66">
        <f t="shared" si="46"/>
        <v>1.1970512000000001E-14</v>
      </c>
      <c r="E688" s="66">
        <v>2.2799999999999999E-3</v>
      </c>
      <c r="F688" s="66">
        <f>_xlfn.IFNA(INDEX('hp (pSv cm2)'!$B$2:$B$52,MATCH($C688,'hp (pSv cm2)'!$A$2:$A$52,1))+($C688-INDEX('hp (pSv cm2)'!$A$2:$A$52,MATCH($C688,'hp (pSv cm2)'!$A$2:$A$52,1)))*(INDEX('hp (pSv cm2)'!$B$2:$B$52,MATCH($C688,'hp (pSv cm2)'!$A$2:$A$52,1)+1)-INDEX('hp (pSv cm2)'!$B$2:$B$52,MATCH($C688,'hp (pSv cm2)'!$A$2:$A$52,1)))/(INDEX('hp (pSv cm2)'!$A$2:$A$52,MATCH($C688,'hp (pSv cm2)'!$A$2:$A$52,1)+1)-INDEX('hp (pSv cm2)'!$A$2:$A$52,MATCH($C688,'hp (pSv cm2)'!$A$2:$A$52,1))),$C688*'hp (pSv cm2)'!$B$2/'hp (pSv cm2)'!$A$2)</f>
        <v>0.42641024</v>
      </c>
      <c r="G688" s="67">
        <f t="shared" si="47"/>
        <v>9.7221534719999999E-4</v>
      </c>
      <c r="H688" s="83">
        <f>_xlfn.IFNA(0.997*(INDEX('Mass attenuation coefficients'!$B$2:$B$37,MATCH($C688,'Mass attenuation coefficients'!$A$2:$A$37,1))+($C688-INDEX('Mass attenuation coefficients'!$A$2:$A$37,MATCH($C688,'Mass attenuation coefficients'!$A$2:$A$37,1)))*(INDEX('Mass attenuation coefficients'!$B$2:$B$37,MATCH($C688,'Mass attenuation coefficients'!$A$2:$A$37,1)+1)-INDEX('Mass attenuation coefficients'!$B$2:$B$37,MATCH($C688,'Mass attenuation coefficients'!$A$2:$A$37,1)))/(INDEX('Mass attenuation coefficients'!$A$2:$A$37,MATCH($C688,'Mass attenuation coefficients'!$A$2:$A$37,1)+1)-INDEX('Mass attenuation coefficients'!$A$2:$A$37,MATCH($C688,'Mass attenuation coefficients'!$A$2:$A$37,1)))),0.997*$C688*'Mass attenuation coefficients'!$B$2/'Mass attenuation coefficients'!$A$2)</f>
        <v>0.188886209281</v>
      </c>
      <c r="I688" s="83">
        <f>_xlfn.IFNA(INDEX('Shultis Faw'!$C$2:$C$26,MATCH($C688,'Shultis Faw'!$A$2:$A$26,1))+($C688-INDEX('Shultis Faw'!$A$2:$A$26,MATCH($C688,'Shultis Faw'!$A$2:$A$26,1)))*(INDEX('Shultis Faw'!$C$2:$C$26,MATCH($C688,'Shultis Faw'!$A$2:$A$26,1)+1)-INDEX('Shultis Faw'!$C$2:$C$26,MATCH($C688,'Shultis Faw'!$A$2:$A$26,1)))/(INDEX('Shultis Faw'!$A$2:$A$26,MATCH($C688,'Shultis Faw'!$A$2:$A$26,1)+1)-INDEX('Shultis Faw'!$A$2:$A$26,MATCH($C688,'Shultis Faw'!$A$2:$A$26,1))),$C688*'Shultis Faw'!$C$2/'Shultis Faw'!$A$2)</f>
        <v>5.0392996600000002</v>
      </c>
      <c r="J688" s="83">
        <f>_xlfn.IFNA(INDEX('Shultis Faw'!$D$2:$D$26,MATCH($C688,'Shultis Faw'!$A$2:$A$26,1))+($C688-INDEX('Shultis Faw'!$A$2:$A$26,MATCH($C688,'Shultis Faw'!$A$2:$A$26,1)))*(INDEX('Shultis Faw'!$D$2:$D$26,MATCH($C688,'Shultis Faw'!$A$2:$A$26,1)+1)-INDEX('Shultis Faw'!$D$2:$D$26,MATCH($C688,'Shultis Faw'!$A$2:$A$26,1)))/(INDEX('Shultis Faw'!$A$2:$A$26,MATCH($C688,'Shultis Faw'!$A$2:$A$26,1)+1)-INDEX('Shultis Faw'!$A$2:$A$26,MATCH($C688,'Shultis Faw'!$A$2:$A$26,1))),$C688*'Shultis Faw'!$D$2/'Shultis Faw'!$A$2)</f>
        <v>1.9737182650000002</v>
      </c>
      <c r="K688" s="83">
        <f>_xlfn.IFNA(INDEX('Shultis Faw'!$B$2:$B$26,MATCH($C688,'Shultis Faw'!$A$2:$A$26,1))+($C688-INDEX('Shultis Faw'!$A$2:$A$26,MATCH($C688,'Shultis Faw'!$A$2:$A$26,1)))*(INDEX('Shultis Faw'!$B$2:$B$26,MATCH($C688,'Shultis Faw'!$A$2:$A$26,1)+1)-INDEX('Shultis Faw'!$B$2:$B$26,MATCH($C688,'Shultis Faw'!$A$2:$A$26,1)))/(INDEX('Shultis Faw'!$A$2:$A$26,MATCH($C688,'Shultis Faw'!$A$2:$A$26,1)+1)-INDEX('Shultis Faw'!$A$2:$A$26,MATCH($C688,'Shultis Faw'!$A$2:$A$26,1))),$C688*'Shultis Faw'!$B$2/'Shultis Faw'!$A$2)</f>
        <v>-0.15711297000000005</v>
      </c>
      <c r="L688" s="83">
        <f>_xlfn.IFNA(INDEX('Shultis Faw'!$E$2:$E$26,MATCH($C688,'Shultis Faw'!$A$2:$A$26,1))+($C688-INDEX('Shultis Faw'!$A$2:$A$26,MATCH($C688,'Shultis Faw'!$A$2:$A$26,1)))*(INDEX('Shultis Faw'!$E$2:$E$26,MATCH($C688,'Shultis Faw'!$A$2:$A$26,1)+1)-INDEX('Shultis Faw'!$E$2:$E$26,MATCH($C688,'Shultis Faw'!$A$2:$A$26,1)))/(INDEX('Shultis Faw'!$A$2:$A$26,MATCH($C688,'Shultis Faw'!$A$2:$A$26,1)+1)-INDEX('Shultis Faw'!$A$2:$A$26,MATCH($C688,'Shultis Faw'!$A$2:$A$26,1))),$C688*'Shultis Faw'!$E$2/'Shultis Faw'!$A$2)</f>
        <v>7.1582406500000015E-2</v>
      </c>
      <c r="M688" s="83">
        <f>_xlfn.IFNA(INDEX('Shultis Faw'!$F$2:$F$26,MATCH($C688,'Shultis Faw'!$A$2:$A$26,1))+($C688-INDEX('Shultis Faw'!$A$2:$A$26,MATCH($C688,'Shultis Faw'!$A$2:$A$26,1)))*(INDEX('Shultis Faw'!$F$2:$F$26,MATCH($C688,'Shultis Faw'!$A$2:$A$26,1)+1)-INDEX('Shultis Faw'!$F$2:$F$26,MATCH($C688,'Shultis Faw'!$A$2:$A$26,1)))/(INDEX('Shultis Faw'!$A$2:$A$26,MATCH($C688,'Shultis Faw'!$A$2:$A$26,1)+1)-INDEX('Shultis Faw'!$A$2:$A$26,MATCH($C688,'Shultis Faw'!$A$2:$A$26,1))),$C688*'Shultis Faw'!$F$2/'Shultis Faw'!$A$2)</f>
        <v>13.66222355</v>
      </c>
      <c r="N688" s="83">
        <f>J688*(H688*'Externe blootstelling'!$D$23/2)^K688+L688*(TANH(((H688*'Externe blootstelling'!$D$23)/(2*M688))-2)-TANH(-2))/(1-TANH(-2))</f>
        <v>1.6764638743363578</v>
      </c>
      <c r="O688" s="83">
        <f>IF(N688=1,1+(I688-1)*H688*'Externe blootstelling'!$D$23/2,1+(I688-1)*(N688^(H688*'Externe blootstelling'!$D$23/2)-1)/(N688-1))</f>
        <v>20.841655212734207</v>
      </c>
      <c r="P688" s="67">
        <f>G688*EXP(-H688*'Externe blootstelling'!$D$23/2)*O688</f>
        <v>1.191821192224953E-3</v>
      </c>
      <c r="Q688" s="68"/>
    </row>
    <row r="689" spans="1:17" x14ac:dyDescent="0.2">
      <c r="A689" s="217"/>
      <c r="B689" s="64" t="s">
        <v>102</v>
      </c>
      <c r="C689" s="66">
        <v>7.7108800000000005E-2</v>
      </c>
      <c r="D689" s="66">
        <f t="shared" si="46"/>
        <v>1.2337407999999999E-14</v>
      </c>
      <c r="E689" s="66">
        <v>3.81E-3</v>
      </c>
      <c r="F689" s="66">
        <f>_xlfn.IFNA(INDEX('hp (pSv cm2)'!$B$2:$B$52,MATCH($C689,'hp (pSv cm2)'!$A$2:$A$52,1))+($C689-INDEX('hp (pSv cm2)'!$A$2:$A$52,MATCH($C689,'hp (pSv cm2)'!$A$2:$A$52,1)))*(INDEX('hp (pSv cm2)'!$B$2:$B$52,MATCH($C689,'hp (pSv cm2)'!$A$2:$A$52,1)+1)-INDEX('hp (pSv cm2)'!$B$2:$B$52,MATCH($C689,'hp (pSv cm2)'!$A$2:$A$52,1)))/(INDEX('hp (pSv cm2)'!$A$2:$A$52,MATCH($C689,'hp (pSv cm2)'!$A$2:$A$52,1)+1)-INDEX('hp (pSv cm2)'!$A$2:$A$52,MATCH($C689,'hp (pSv cm2)'!$A$2:$A$52,1))),$C689*'hp (pSv cm2)'!$B$2/'hp (pSv cm2)'!$A$2)</f>
        <v>0.43374815999999999</v>
      </c>
      <c r="G689" s="67">
        <f t="shared" si="47"/>
        <v>1.6525804895999999E-3</v>
      </c>
      <c r="H689" s="83">
        <f>_xlfn.IFNA(0.997*(INDEX('Mass attenuation coefficients'!$B$2:$B$37,MATCH($C689,'Mass attenuation coefficients'!$A$2:$A$37,1))+($C689-INDEX('Mass attenuation coefficients'!$A$2:$A$37,MATCH($C689,'Mass attenuation coefficients'!$A$2:$A$37,1)))*(INDEX('Mass attenuation coefficients'!$B$2:$B$37,MATCH($C689,'Mass attenuation coefficients'!$A$2:$A$37,1)+1)-INDEX('Mass attenuation coefficients'!$B$2:$B$37,MATCH($C689,'Mass attenuation coefficients'!$A$2:$A$37,1)))/(INDEX('Mass attenuation coefficients'!$A$2:$A$37,MATCH($C689,'Mass attenuation coefficients'!$A$2:$A$37,1)+1)-INDEX('Mass attenuation coefficients'!$A$2:$A$37,MATCH($C689,'Mass attenuation coefficients'!$A$2:$A$37,1)))),0.997*$C689*'Mass attenuation coefficients'!$B$2/'Mass attenuation coefficients'!$A$2)</f>
        <v>0.18634850430400002</v>
      </c>
      <c r="I689" s="83">
        <f>_xlfn.IFNA(INDEX('Shultis Faw'!$C$2:$C$26,MATCH($C689,'Shultis Faw'!$A$2:$A$26,1))+($C689-INDEX('Shultis Faw'!$A$2:$A$26,MATCH($C689,'Shultis Faw'!$A$2:$A$26,1)))*(INDEX('Shultis Faw'!$C$2:$C$26,MATCH($C689,'Shultis Faw'!$A$2:$A$26,1)+1)-INDEX('Shultis Faw'!$C$2:$C$26,MATCH($C689,'Shultis Faw'!$A$2:$A$26,1)))/(INDEX('Shultis Faw'!$A$2:$A$26,MATCH($C689,'Shultis Faw'!$A$2:$A$26,1)+1)-INDEX('Shultis Faw'!$A$2:$A$26,MATCH($C689,'Shultis Faw'!$A$2:$A$26,1))),$C689*'Shultis Faw'!$C$2/'Shultis Faw'!$A$2)</f>
        <v>5.0480134400000001</v>
      </c>
      <c r="J689" s="83">
        <f>_xlfn.IFNA(INDEX('Shultis Faw'!$D$2:$D$26,MATCH($C689,'Shultis Faw'!$A$2:$A$26,1))+($C689-INDEX('Shultis Faw'!$A$2:$A$26,MATCH($C689,'Shultis Faw'!$A$2:$A$26,1)))*(INDEX('Shultis Faw'!$D$2:$D$26,MATCH($C689,'Shultis Faw'!$A$2:$A$26,1)+1)-INDEX('Shultis Faw'!$D$2:$D$26,MATCH($C689,'Shultis Faw'!$A$2:$A$26,1)))/(INDEX('Shultis Faw'!$A$2:$A$26,MATCH($C689,'Shultis Faw'!$A$2:$A$26,1)+1)-INDEX('Shultis Faw'!$A$2:$A$26,MATCH($C689,'Shultis Faw'!$A$2:$A$26,1))),$C689*'Shultis Faw'!$D$2/'Shultis Faw'!$A$2)</f>
        <v>2.01143976</v>
      </c>
      <c r="K689" s="83">
        <f>_xlfn.IFNA(INDEX('Shultis Faw'!$B$2:$B$26,MATCH($C689,'Shultis Faw'!$A$2:$A$26,1))+($C689-INDEX('Shultis Faw'!$A$2:$A$26,MATCH($C689,'Shultis Faw'!$A$2:$A$26,1)))*(INDEX('Shultis Faw'!$B$2:$B$26,MATCH($C689,'Shultis Faw'!$A$2:$A$26,1)+1)-INDEX('Shultis Faw'!$B$2:$B$26,MATCH($C689,'Shultis Faw'!$A$2:$A$26,1)))/(INDEX('Shultis Faw'!$A$2:$A$26,MATCH($C689,'Shultis Faw'!$A$2:$A$26,1)+1)-INDEX('Shultis Faw'!$A$2:$A$26,MATCH($C689,'Shultis Faw'!$A$2:$A$26,1))),$C689*'Shultis Faw'!$B$2/'Shultis Faw'!$A$2)</f>
        <v>-0.16192848000000001</v>
      </c>
      <c r="L689" s="83">
        <f>_xlfn.IFNA(INDEX('Shultis Faw'!$E$2:$E$26,MATCH($C689,'Shultis Faw'!$A$2:$A$26,1))+($C689-INDEX('Shultis Faw'!$A$2:$A$26,MATCH($C689,'Shultis Faw'!$A$2:$A$26,1)))*(INDEX('Shultis Faw'!$E$2:$E$26,MATCH($C689,'Shultis Faw'!$A$2:$A$26,1)+1)-INDEX('Shultis Faw'!$E$2:$E$26,MATCH($C689,'Shultis Faw'!$A$2:$A$26,1)))/(INDEX('Shultis Faw'!$A$2:$A$26,MATCH($C689,'Shultis Faw'!$A$2:$A$26,1)+1)-INDEX('Shultis Faw'!$A$2:$A$26,MATCH($C689,'Shultis Faw'!$A$2:$A$26,1))),$C689*'Shultis Faw'!$E$2/'Shultis Faw'!$A$2)</f>
        <v>7.397869600000001E-2</v>
      </c>
      <c r="M689" s="83">
        <f>_xlfn.IFNA(INDEX('Shultis Faw'!$F$2:$F$26,MATCH($C689,'Shultis Faw'!$A$2:$A$26,1))+($C689-INDEX('Shultis Faw'!$A$2:$A$26,MATCH($C689,'Shultis Faw'!$A$2:$A$26,1)))*(INDEX('Shultis Faw'!$F$2:$F$26,MATCH($C689,'Shultis Faw'!$A$2:$A$26,1)+1)-INDEX('Shultis Faw'!$F$2:$F$26,MATCH($C689,'Shultis Faw'!$A$2:$A$26,1)))/(INDEX('Shultis Faw'!$A$2:$A$26,MATCH($C689,'Shultis Faw'!$A$2:$A$26,1)+1)-INDEX('Shultis Faw'!$A$2:$A$26,MATCH($C689,'Shultis Faw'!$A$2:$A$26,1))),$C689*'Shultis Faw'!$F$2/'Shultis Faw'!$A$2)</f>
        <v>13.665663200000001</v>
      </c>
      <c r="N689" s="83">
        <f>J689*(H689*'Externe blootstelling'!$D$23/2)^K689+L689*(TANH(((H689*'Externe blootstelling'!$D$23)/(2*M689))-2)-TANH(-2))/(1-TANH(-2))</f>
        <v>1.703685025585868</v>
      </c>
      <c r="O689" s="83">
        <f>IF(N689=1,1+(I689-1)*H689*'Externe blootstelling'!$D$23/2,1+(I689-1)*(N689^(H689*'Externe blootstelling'!$D$23/2)-1)/(N689-1))</f>
        <v>20.753821087653634</v>
      </c>
      <c r="P689" s="67">
        <f>G689*EXP(-H689*'Externe blootstelling'!$D$23/2)*O689</f>
        <v>2.0956018959900763E-3</v>
      </c>
      <c r="Q689" s="68"/>
    </row>
    <row r="690" spans="1:17" x14ac:dyDescent="0.2">
      <c r="A690" s="217"/>
      <c r="B690" s="64" t="s">
        <v>102</v>
      </c>
      <c r="C690" s="66">
        <v>8.7346999999999994E-2</v>
      </c>
      <c r="D690" s="66">
        <f t="shared" si="46"/>
        <v>1.397552E-14</v>
      </c>
      <c r="E690" s="66">
        <v>1.2999999999999999E-3</v>
      </c>
      <c r="F690" s="66">
        <f>_xlfn.IFNA(INDEX('hp (pSv cm2)'!$B$2:$B$52,MATCH($C690,'hp (pSv cm2)'!$A$2:$A$52,1))+($C690-INDEX('hp (pSv cm2)'!$A$2:$A$52,MATCH($C690,'hp (pSv cm2)'!$A$2:$A$52,1)))*(INDEX('hp (pSv cm2)'!$B$2:$B$52,MATCH($C690,'hp (pSv cm2)'!$A$2:$A$52,1)+1)-INDEX('hp (pSv cm2)'!$B$2:$B$52,MATCH($C690,'hp (pSv cm2)'!$A$2:$A$52,1)))/(INDEX('hp (pSv cm2)'!$A$2:$A$52,MATCH($C690,'hp (pSv cm2)'!$A$2:$A$52,1)+1)-INDEX('hp (pSv cm2)'!$A$2:$A$52,MATCH($C690,'hp (pSv cm2)'!$A$2:$A$52,1))),$C690*'hp (pSv cm2)'!$B$2/'hp (pSv cm2)'!$A$2)</f>
        <v>0.47055124999999998</v>
      </c>
      <c r="G690" s="67">
        <f t="shared" si="47"/>
        <v>6.1171662499999999E-4</v>
      </c>
      <c r="H690" s="83">
        <f>_xlfn.IFNA(0.997*(INDEX('Mass attenuation coefficients'!$B$2:$B$37,MATCH($C690,'Mass attenuation coefficients'!$A$2:$A$37,1))+($C690-INDEX('Mass attenuation coefficients'!$A$2:$A$37,MATCH($C690,'Mass attenuation coefficients'!$A$2:$A$37,1)))*(INDEX('Mass attenuation coefficients'!$B$2:$B$37,MATCH($C690,'Mass attenuation coefficients'!$A$2:$A$37,1)+1)-INDEX('Mass attenuation coefficients'!$B$2:$B$37,MATCH($C690,'Mass attenuation coefficients'!$A$2:$A$37,1)))/(INDEX('Mass attenuation coefficients'!$A$2:$A$37,MATCH($C690,'Mass attenuation coefficients'!$A$2:$A$37,1)+1)-INDEX('Mass attenuation coefficients'!$A$2:$A$37,MATCH($C690,'Mass attenuation coefficients'!$A$2:$A$37,1)))),0.997*$C690*'Mass attenuation coefficients'!$B$2/'Mass attenuation coefficients'!$A$2)</f>
        <v>0.17838767665000002</v>
      </c>
      <c r="I690" s="83">
        <f>_xlfn.IFNA(INDEX('Shultis Faw'!$C$2:$C$26,MATCH($C690,'Shultis Faw'!$A$2:$A$26,1))+($C690-INDEX('Shultis Faw'!$A$2:$A$26,MATCH($C690,'Shultis Faw'!$A$2:$A$26,1)))*(INDEX('Shultis Faw'!$C$2:$C$26,MATCH($C690,'Shultis Faw'!$A$2:$A$26,1)+1)-INDEX('Shultis Faw'!$C$2:$C$26,MATCH($C690,'Shultis Faw'!$A$2:$A$26,1)))/(INDEX('Shultis Faw'!$A$2:$A$26,MATCH($C690,'Shultis Faw'!$A$2:$A$26,1)+1)-INDEX('Shultis Faw'!$A$2:$A$26,MATCH($C690,'Shultis Faw'!$A$2:$A$26,1))),$C690*'Shultis Faw'!$C$2/'Shultis Faw'!$A$2)</f>
        <v>4.9135294000000007</v>
      </c>
      <c r="J690" s="83">
        <f>_xlfn.IFNA(INDEX('Shultis Faw'!$D$2:$D$26,MATCH($C690,'Shultis Faw'!$A$2:$A$26,1))+($C690-INDEX('Shultis Faw'!$A$2:$A$26,MATCH($C690,'Shultis Faw'!$A$2:$A$26,1)))*(INDEX('Shultis Faw'!$D$2:$D$26,MATCH($C690,'Shultis Faw'!$A$2:$A$26,1)+1)-INDEX('Shultis Faw'!$D$2:$D$26,MATCH($C690,'Shultis Faw'!$A$2:$A$26,1)))/(INDEX('Shultis Faw'!$A$2:$A$26,MATCH($C690,'Shultis Faw'!$A$2:$A$26,1)+1)-INDEX('Shultis Faw'!$A$2:$A$26,MATCH($C690,'Shultis Faw'!$A$2:$A$26,1))),$C690*'Shultis Faw'!$D$2/'Shultis Faw'!$A$2)</f>
        <v>2.1185106999999999</v>
      </c>
      <c r="K690" s="83">
        <f>_xlfn.IFNA(INDEX('Shultis Faw'!$B$2:$B$26,MATCH($C690,'Shultis Faw'!$A$2:$A$26,1))+($C690-INDEX('Shultis Faw'!$A$2:$A$26,MATCH($C690,'Shultis Faw'!$A$2:$A$26,1)))*(INDEX('Shultis Faw'!$B$2:$B$26,MATCH($C690,'Shultis Faw'!$A$2:$A$26,1)+1)-INDEX('Shultis Faw'!$B$2:$B$26,MATCH($C690,'Shultis Faw'!$A$2:$A$26,1)))/(INDEX('Shultis Faw'!$A$2:$A$26,MATCH($C690,'Shultis Faw'!$A$2:$A$26,1)+1)-INDEX('Shultis Faw'!$A$2:$A$26,MATCH($C690,'Shultis Faw'!$A$2:$A$26,1))),$C690*'Shultis Faw'!$B$2/'Shultis Faw'!$A$2)</f>
        <v>-0.1746123</v>
      </c>
      <c r="L690" s="83">
        <f>_xlfn.IFNA(INDEX('Shultis Faw'!$E$2:$E$26,MATCH($C690,'Shultis Faw'!$A$2:$A$26,1))+($C690-INDEX('Shultis Faw'!$A$2:$A$26,MATCH($C690,'Shultis Faw'!$A$2:$A$26,1)))*(INDEX('Shultis Faw'!$E$2:$E$26,MATCH($C690,'Shultis Faw'!$A$2:$A$26,1)+1)-INDEX('Shultis Faw'!$E$2:$E$26,MATCH($C690,'Shultis Faw'!$A$2:$A$26,1)))/(INDEX('Shultis Faw'!$A$2:$A$26,MATCH($C690,'Shultis Faw'!$A$2:$A$26,1)+1)-INDEX('Shultis Faw'!$A$2:$A$26,MATCH($C690,'Shultis Faw'!$A$2:$A$26,1))),$C690*'Shultis Faw'!$E$2/'Shultis Faw'!$A$2)</f>
        <v>7.9057160000000001E-2</v>
      </c>
      <c r="M690" s="83">
        <f>_xlfn.IFNA(INDEX('Shultis Faw'!$F$2:$F$26,MATCH($C690,'Shultis Faw'!$A$2:$A$26,1))+($C690-INDEX('Shultis Faw'!$A$2:$A$26,MATCH($C690,'Shultis Faw'!$A$2:$A$26,1)))*(INDEX('Shultis Faw'!$F$2:$F$26,MATCH($C690,'Shultis Faw'!$A$2:$A$26,1)+1)-INDEX('Shultis Faw'!$F$2:$F$26,MATCH($C690,'Shultis Faw'!$A$2:$A$26,1)))/(INDEX('Shultis Faw'!$A$2:$A$26,MATCH($C690,'Shultis Faw'!$A$2:$A$26,1)+1)-INDEX('Shultis Faw'!$A$2:$A$26,MATCH($C690,'Shultis Faw'!$A$2:$A$26,1))),$C690*'Shultis Faw'!$F$2/'Shultis Faw'!$A$2)</f>
        <v>13.545101000000001</v>
      </c>
      <c r="N690" s="83">
        <f>J690*(H690*'Externe blootstelling'!$D$23/2)^K690+L690*(TANH(((H690*'Externe blootstelling'!$D$23)/(2*M690))-2)-TANH(-2))/(1-TANH(-2))</f>
        <v>1.7846695337440068</v>
      </c>
      <c r="O690" s="83">
        <f>IF(N690=1,1+(I690-1)*H690*'Externe blootstelling'!$D$23/2,1+(I690-1)*(N690^(H690*'Externe blootstelling'!$D$23/2)-1)/(N690-1))</f>
        <v>19.509057705095799</v>
      </c>
      <c r="P690" s="67">
        <f>G690*EXP(-H690*'Externe blootstelling'!$D$23/2)*O690</f>
        <v>8.2166506614140601E-4</v>
      </c>
      <c r="Q690" s="68"/>
    </row>
    <row r="691" spans="1:17" x14ac:dyDescent="0.2">
      <c r="A691" s="217"/>
      <c r="B691" s="64" t="s">
        <v>102</v>
      </c>
      <c r="C691" s="66">
        <v>9.0075699999999995E-2</v>
      </c>
      <c r="D691" s="66">
        <f t="shared" si="46"/>
        <v>1.4412112E-14</v>
      </c>
      <c r="E691" s="66">
        <v>3.9899999999999999E-4</v>
      </c>
      <c r="F691" s="66">
        <f>_xlfn.IFNA(INDEX('hp (pSv cm2)'!$B$2:$B$52,MATCH($C691,'hp (pSv cm2)'!$A$2:$A$52,1))+($C691-INDEX('hp (pSv cm2)'!$A$2:$A$52,MATCH($C691,'hp (pSv cm2)'!$A$2:$A$52,1)))*(INDEX('hp (pSv cm2)'!$B$2:$B$52,MATCH($C691,'hp (pSv cm2)'!$A$2:$A$52,1)+1)-INDEX('hp (pSv cm2)'!$B$2:$B$52,MATCH($C691,'hp (pSv cm2)'!$A$2:$A$52,1)))/(INDEX('hp (pSv cm2)'!$A$2:$A$52,MATCH($C691,'hp (pSv cm2)'!$A$2:$A$52,1)+1)-INDEX('hp (pSv cm2)'!$A$2:$A$52,MATCH($C691,'hp (pSv cm2)'!$A$2:$A$52,1))),$C691*'hp (pSv cm2)'!$B$2/'hp (pSv cm2)'!$A$2)</f>
        <v>0.48078387499999997</v>
      </c>
      <c r="G691" s="67">
        <f t="shared" si="47"/>
        <v>1.9183276612499999E-4</v>
      </c>
      <c r="H691" s="83">
        <f>_xlfn.IFNA(0.997*(INDEX('Mass attenuation coefficients'!$B$2:$B$37,MATCH($C691,'Mass attenuation coefficients'!$A$2:$A$37,1))+($C691-INDEX('Mass attenuation coefficients'!$A$2:$A$37,MATCH($C691,'Mass attenuation coefficients'!$A$2:$A$37,1)))*(INDEX('Mass attenuation coefficients'!$B$2:$B$37,MATCH($C691,'Mass attenuation coefficients'!$A$2:$A$37,1)+1)-INDEX('Mass attenuation coefficients'!$B$2:$B$37,MATCH($C691,'Mass attenuation coefficients'!$A$2:$A$37,1)))/(INDEX('Mass attenuation coefficients'!$A$2:$A$37,MATCH($C691,'Mass attenuation coefficients'!$A$2:$A$37,1)+1)-INDEX('Mass attenuation coefficients'!$A$2:$A$37,MATCH($C691,'Mass attenuation coefficients'!$A$2:$A$37,1)))),0.997*$C691*'Mass attenuation coefficients'!$B$2/'Mass attenuation coefficients'!$A$2)</f>
        <v>0.17661934261500001</v>
      </c>
      <c r="I691" s="83">
        <f>_xlfn.IFNA(INDEX('Shultis Faw'!$C$2:$C$26,MATCH($C691,'Shultis Faw'!$A$2:$A$26,1))+($C691-INDEX('Shultis Faw'!$A$2:$A$26,MATCH($C691,'Shultis Faw'!$A$2:$A$26,1)))*(INDEX('Shultis Faw'!$C$2:$C$26,MATCH($C691,'Shultis Faw'!$A$2:$A$26,1)+1)-INDEX('Shultis Faw'!$C$2:$C$26,MATCH($C691,'Shultis Faw'!$A$2:$A$26,1)))/(INDEX('Shultis Faw'!$A$2:$A$26,MATCH($C691,'Shultis Faw'!$A$2:$A$26,1)+1)-INDEX('Shultis Faw'!$A$2:$A$26,MATCH($C691,'Shultis Faw'!$A$2:$A$26,1))),$C691*'Shultis Faw'!$C$2/'Shultis Faw'!$A$2)</f>
        <v>4.8595011400000008</v>
      </c>
      <c r="J691" s="83">
        <f>_xlfn.IFNA(INDEX('Shultis Faw'!$D$2:$D$26,MATCH($C691,'Shultis Faw'!$A$2:$A$26,1))+($C691-INDEX('Shultis Faw'!$A$2:$A$26,MATCH($C691,'Shultis Faw'!$A$2:$A$26,1)))*(INDEX('Shultis Faw'!$D$2:$D$26,MATCH($C691,'Shultis Faw'!$A$2:$A$26,1)+1)-INDEX('Shultis Faw'!$D$2:$D$26,MATCH($C691,'Shultis Faw'!$A$2:$A$26,1)))/(INDEX('Shultis Faw'!$A$2:$A$26,MATCH($C691,'Shultis Faw'!$A$2:$A$26,1)+1)-INDEX('Shultis Faw'!$A$2:$A$26,MATCH($C691,'Shultis Faw'!$A$2:$A$26,1))),$C691*'Shultis Faw'!$D$2/'Shultis Faw'!$A$2)</f>
        <v>2.14061317</v>
      </c>
      <c r="K691" s="83">
        <f>_xlfn.IFNA(INDEX('Shultis Faw'!$B$2:$B$26,MATCH($C691,'Shultis Faw'!$A$2:$A$26,1))+($C691-INDEX('Shultis Faw'!$A$2:$A$26,MATCH($C691,'Shultis Faw'!$A$2:$A$26,1)))*(INDEX('Shultis Faw'!$B$2:$B$26,MATCH($C691,'Shultis Faw'!$A$2:$A$26,1)+1)-INDEX('Shultis Faw'!$B$2:$B$26,MATCH($C691,'Shultis Faw'!$A$2:$A$26,1)))/(INDEX('Shultis Faw'!$A$2:$A$26,MATCH($C691,'Shultis Faw'!$A$2:$A$26,1)+1)-INDEX('Shultis Faw'!$A$2:$A$26,MATCH($C691,'Shultis Faw'!$A$2:$A$26,1))),$C691*'Shultis Faw'!$B$2/'Shultis Faw'!$A$2)</f>
        <v>-0.17706812999999999</v>
      </c>
      <c r="L691" s="83">
        <f>_xlfn.IFNA(INDEX('Shultis Faw'!$E$2:$E$26,MATCH($C691,'Shultis Faw'!$A$2:$A$26,1))+($C691-INDEX('Shultis Faw'!$A$2:$A$26,MATCH($C691,'Shultis Faw'!$A$2:$A$26,1)))*(INDEX('Shultis Faw'!$E$2:$E$26,MATCH($C691,'Shultis Faw'!$A$2:$A$26,1)+1)-INDEX('Shultis Faw'!$E$2:$E$26,MATCH($C691,'Shultis Faw'!$A$2:$A$26,1)))/(INDEX('Shultis Faw'!$A$2:$A$26,MATCH($C691,'Shultis Faw'!$A$2:$A$26,1)+1)-INDEX('Shultis Faw'!$A$2:$A$26,MATCH($C691,'Shultis Faw'!$A$2:$A$26,1))),$C691*'Shultis Faw'!$E$2/'Shultis Faw'!$A$2)</f>
        <v>7.9821195999999997E-2</v>
      </c>
      <c r="M691" s="83">
        <f>_xlfn.IFNA(INDEX('Shultis Faw'!$F$2:$F$26,MATCH($C691,'Shultis Faw'!$A$2:$A$26,1))+($C691-INDEX('Shultis Faw'!$A$2:$A$26,MATCH($C691,'Shultis Faw'!$A$2:$A$26,1)))*(INDEX('Shultis Faw'!$F$2:$F$26,MATCH($C691,'Shultis Faw'!$A$2:$A$26,1)+1)-INDEX('Shultis Faw'!$F$2:$F$26,MATCH($C691,'Shultis Faw'!$A$2:$A$26,1)))/(INDEX('Shultis Faw'!$A$2:$A$26,MATCH($C691,'Shultis Faw'!$A$2:$A$26,1)+1)-INDEX('Shultis Faw'!$A$2:$A$26,MATCH($C691,'Shultis Faw'!$A$2:$A$26,1))),$C691*'Shultis Faw'!$F$2/'Shultis Faw'!$A$2)</f>
        <v>13.4987131</v>
      </c>
      <c r="N691" s="83">
        <f>J691*(H691*'Externe blootstelling'!$D$23/2)^K691+L691*(TANH(((H691*'Externe blootstelling'!$D$23)/(2*M691))-2)-TANH(-2))/(1-TANH(-2))</f>
        <v>1.8021061429271934</v>
      </c>
      <c r="O691" s="83">
        <f>IF(N691=1,1+(I691-1)*H691*'Externe blootstelling'!$D$23/2,1+(I691-1)*(N691^(H691*'Externe blootstelling'!$D$23/2)-1)/(N691-1))</f>
        <v>19.093578133577189</v>
      </c>
      <c r="P691" s="67">
        <f>G691*EXP(-H691*'Externe blootstelling'!$D$23/2)*O691</f>
        <v>2.5896318238253217E-4</v>
      </c>
      <c r="Q691" s="68"/>
    </row>
    <row r="692" spans="1:17" x14ac:dyDescent="0.2">
      <c r="A692" s="217"/>
      <c r="B692" s="64" t="s">
        <v>104</v>
      </c>
      <c r="C692" s="66">
        <v>9.5129999999999992E-2</v>
      </c>
      <c r="D692" s="66">
        <f t="shared" si="46"/>
        <v>1.5220799999999998E-14</v>
      </c>
      <c r="E692" s="66">
        <v>1.7999999999999998E-4</v>
      </c>
      <c r="F692" s="66">
        <f>_xlfn.IFNA(INDEX('hp (pSv cm2)'!$B$2:$B$52,MATCH($C692,'hp (pSv cm2)'!$A$2:$A$52,1))+($C692-INDEX('hp (pSv cm2)'!$A$2:$A$52,MATCH($C692,'hp (pSv cm2)'!$A$2:$A$52,1)))*(INDEX('hp (pSv cm2)'!$B$2:$B$52,MATCH($C692,'hp (pSv cm2)'!$A$2:$A$52,1)+1)-INDEX('hp (pSv cm2)'!$B$2:$B$52,MATCH($C692,'hp (pSv cm2)'!$A$2:$A$52,1)))/(INDEX('hp (pSv cm2)'!$A$2:$A$52,MATCH($C692,'hp (pSv cm2)'!$A$2:$A$52,1)+1)-INDEX('hp (pSv cm2)'!$A$2:$A$52,MATCH($C692,'hp (pSv cm2)'!$A$2:$A$52,1))),$C692*'hp (pSv cm2)'!$B$2/'hp (pSv cm2)'!$A$2)</f>
        <v>0.49973749999999995</v>
      </c>
      <c r="G692" s="67">
        <f t="shared" si="47"/>
        <v>8.995274999999998E-5</v>
      </c>
      <c r="H692" s="83">
        <f>_xlfn.IFNA(0.997*(INDEX('Mass attenuation coefficients'!$B$2:$B$37,MATCH($C692,'Mass attenuation coefficients'!$A$2:$A$37,1))+($C692-INDEX('Mass attenuation coefficients'!$A$2:$A$37,MATCH($C692,'Mass attenuation coefficients'!$A$2:$A$37,1)))*(INDEX('Mass attenuation coefficients'!$B$2:$B$37,MATCH($C692,'Mass attenuation coefficients'!$A$2:$A$37,1)+1)-INDEX('Mass attenuation coefficients'!$B$2:$B$37,MATCH($C692,'Mass attenuation coefficients'!$A$2:$A$37,1)))/(INDEX('Mass attenuation coefficients'!$A$2:$A$37,MATCH($C692,'Mass attenuation coefficients'!$A$2:$A$37,1)+1)-INDEX('Mass attenuation coefficients'!$A$2:$A$37,MATCH($C692,'Mass attenuation coefficients'!$A$2:$A$37,1)))),0.997*$C692*'Mass attenuation coefficients'!$B$2/'Mass attenuation coefficients'!$A$2)</f>
        <v>0.17334390350000001</v>
      </c>
      <c r="I692" s="83">
        <f>_xlfn.IFNA(INDEX('Shultis Faw'!$C$2:$C$26,MATCH($C692,'Shultis Faw'!$A$2:$A$26,1))+($C692-INDEX('Shultis Faw'!$A$2:$A$26,MATCH($C692,'Shultis Faw'!$A$2:$A$26,1)))*(INDEX('Shultis Faw'!$C$2:$C$26,MATCH($C692,'Shultis Faw'!$A$2:$A$26,1)+1)-INDEX('Shultis Faw'!$C$2:$C$26,MATCH($C692,'Shultis Faw'!$A$2:$A$26,1)))/(INDEX('Shultis Faw'!$A$2:$A$26,MATCH($C692,'Shultis Faw'!$A$2:$A$26,1)+1)-INDEX('Shultis Faw'!$A$2:$A$26,MATCH($C692,'Shultis Faw'!$A$2:$A$26,1))),$C692*'Shultis Faw'!$C$2/'Shultis Faw'!$A$2)</f>
        <v>4.7594260000000004</v>
      </c>
      <c r="J692" s="83">
        <f>_xlfn.IFNA(INDEX('Shultis Faw'!$D$2:$D$26,MATCH($C692,'Shultis Faw'!$A$2:$A$26,1))+($C692-INDEX('Shultis Faw'!$A$2:$A$26,MATCH($C692,'Shultis Faw'!$A$2:$A$26,1)))*(INDEX('Shultis Faw'!$D$2:$D$26,MATCH($C692,'Shultis Faw'!$A$2:$A$26,1)+1)-INDEX('Shultis Faw'!$D$2:$D$26,MATCH($C692,'Shultis Faw'!$A$2:$A$26,1)))/(INDEX('Shultis Faw'!$A$2:$A$26,MATCH($C692,'Shultis Faw'!$A$2:$A$26,1)+1)-INDEX('Shultis Faw'!$A$2:$A$26,MATCH($C692,'Shultis Faw'!$A$2:$A$26,1))),$C692*'Shultis Faw'!$D$2/'Shultis Faw'!$A$2)</f>
        <v>2.1815530000000001</v>
      </c>
      <c r="K692" s="83">
        <f>_xlfn.IFNA(INDEX('Shultis Faw'!$B$2:$B$26,MATCH($C692,'Shultis Faw'!$A$2:$A$26,1))+($C692-INDEX('Shultis Faw'!$A$2:$A$26,MATCH($C692,'Shultis Faw'!$A$2:$A$26,1)))*(INDEX('Shultis Faw'!$B$2:$B$26,MATCH($C692,'Shultis Faw'!$A$2:$A$26,1)+1)-INDEX('Shultis Faw'!$B$2:$B$26,MATCH($C692,'Shultis Faw'!$A$2:$A$26,1)))/(INDEX('Shultis Faw'!$A$2:$A$26,MATCH($C692,'Shultis Faw'!$A$2:$A$26,1)+1)-INDEX('Shultis Faw'!$A$2:$A$26,MATCH($C692,'Shultis Faw'!$A$2:$A$26,1))),$C692*'Shultis Faw'!$B$2/'Shultis Faw'!$A$2)</f>
        <v>-0.181617</v>
      </c>
      <c r="L692" s="83">
        <f>_xlfn.IFNA(INDEX('Shultis Faw'!$E$2:$E$26,MATCH($C692,'Shultis Faw'!$A$2:$A$26,1))+($C692-INDEX('Shultis Faw'!$A$2:$A$26,MATCH($C692,'Shultis Faw'!$A$2:$A$26,1)))*(INDEX('Shultis Faw'!$E$2:$E$26,MATCH($C692,'Shultis Faw'!$A$2:$A$26,1)+1)-INDEX('Shultis Faw'!$E$2:$E$26,MATCH($C692,'Shultis Faw'!$A$2:$A$26,1)))/(INDEX('Shultis Faw'!$A$2:$A$26,MATCH($C692,'Shultis Faw'!$A$2:$A$26,1)+1)-INDEX('Shultis Faw'!$A$2:$A$26,MATCH($C692,'Shultis Faw'!$A$2:$A$26,1))),$C692*'Shultis Faw'!$E$2/'Shultis Faw'!$A$2)</f>
        <v>8.12364E-2</v>
      </c>
      <c r="M692" s="83">
        <f>_xlfn.IFNA(INDEX('Shultis Faw'!$F$2:$F$26,MATCH($C692,'Shultis Faw'!$A$2:$A$26,1))+($C692-INDEX('Shultis Faw'!$A$2:$A$26,MATCH($C692,'Shultis Faw'!$A$2:$A$26,1)))*(INDEX('Shultis Faw'!$F$2:$F$26,MATCH($C692,'Shultis Faw'!$A$2:$A$26,1)+1)-INDEX('Shultis Faw'!$F$2:$F$26,MATCH($C692,'Shultis Faw'!$A$2:$A$26,1)))/(INDEX('Shultis Faw'!$A$2:$A$26,MATCH($C692,'Shultis Faw'!$A$2:$A$26,1)+1)-INDEX('Shultis Faw'!$A$2:$A$26,MATCH($C692,'Shultis Faw'!$A$2:$A$26,1))),$C692*'Shultis Faw'!$F$2/'Shultis Faw'!$A$2)</f>
        <v>13.412790000000001</v>
      </c>
      <c r="N692" s="83">
        <f>J692*(H692*'Externe blootstelling'!$D$23/2)^K692+L692*(TANH(((H692*'Externe blootstelling'!$D$23)/(2*M692))-2)-TANH(-2))/(1-TANH(-2))</f>
        <v>1.834666787721837</v>
      </c>
      <c r="O692" s="83">
        <f>IF(N692=1,1+(I692-1)*H692*'Externe blootstelling'!$D$23/2,1+(I692-1)*(N692^(H692*'Externe blootstelling'!$D$23/2)-1)/(N692-1))</f>
        <v>18.318115193646875</v>
      </c>
      <c r="P692" s="67">
        <f>G692*EXP(-H692*'Externe blootstelling'!$D$23/2)*O692</f>
        <v>1.2236598749013571E-4</v>
      </c>
      <c r="Q692" s="68"/>
    </row>
    <row r="693" spans="1:17" x14ac:dyDescent="0.2">
      <c r="A693" s="217"/>
      <c r="B693" s="64" t="s">
        <v>104</v>
      </c>
      <c r="C693" s="66">
        <v>0.31395999999999996</v>
      </c>
      <c r="D693" s="66">
        <f t="shared" si="46"/>
        <v>5.0233599999999987E-14</v>
      </c>
      <c r="E693" s="66">
        <v>2.6800000000000001E-4</v>
      </c>
      <c r="F693" s="66">
        <f>_xlfn.IFNA(INDEX('hp (pSv cm2)'!$B$2:$B$52,MATCH($C693,'hp (pSv cm2)'!$A$2:$A$52,1))+($C693-INDEX('hp (pSv cm2)'!$A$2:$A$52,MATCH($C693,'hp (pSv cm2)'!$A$2:$A$52,1)))*(INDEX('hp (pSv cm2)'!$B$2:$B$52,MATCH($C693,'hp (pSv cm2)'!$A$2:$A$52,1)+1)-INDEX('hp (pSv cm2)'!$B$2:$B$52,MATCH($C693,'hp (pSv cm2)'!$A$2:$A$52,1)))/(INDEX('hp (pSv cm2)'!$A$2:$A$52,MATCH($C693,'hp (pSv cm2)'!$A$2:$A$52,1)+1)-INDEX('hp (pSv cm2)'!$A$2:$A$52,MATCH($C693,'hp (pSv cm2)'!$A$2:$A$52,1))),$C693*'hp (pSv cm2)'!$B$2/'hp (pSv cm2)'!$A$2)</f>
        <v>1.5784039999999999</v>
      </c>
      <c r="G693" s="67">
        <f t="shared" si="47"/>
        <v>4.2301227200000001E-4</v>
      </c>
      <c r="H693" s="83">
        <f>_xlfn.IFNA(0.997*(INDEX('Mass attenuation coefficients'!$B$2:$B$37,MATCH($C693,'Mass attenuation coefficients'!$A$2:$A$37,1))+($C693-INDEX('Mass attenuation coefficients'!$A$2:$A$37,MATCH($C693,'Mass attenuation coefficients'!$A$2:$A$37,1)))*(INDEX('Mass attenuation coefficients'!$B$2:$B$37,MATCH($C693,'Mass attenuation coefficients'!$A$2:$A$37,1)+1)-INDEX('Mass attenuation coefficients'!$B$2:$B$37,MATCH($C693,'Mass attenuation coefficients'!$A$2:$A$37,1)))/(INDEX('Mass attenuation coefficients'!$A$2:$A$37,MATCH($C693,'Mass attenuation coefficients'!$A$2:$A$37,1)+1)-INDEX('Mass attenuation coefficients'!$A$2:$A$37,MATCH($C693,'Mass attenuation coefficients'!$A$2:$A$37,1)))),0.997*$C693*'Mass attenuation coefficients'!$B$2/'Mass attenuation coefficients'!$A$2)</f>
        <v>0.116504435</v>
      </c>
      <c r="I693" s="83">
        <f>_xlfn.IFNA(INDEX('Shultis Faw'!$C$2:$C$26,MATCH($C693,'Shultis Faw'!$A$2:$A$26,1))+($C693-INDEX('Shultis Faw'!$A$2:$A$26,MATCH($C693,'Shultis Faw'!$A$2:$A$26,1)))*(INDEX('Shultis Faw'!$C$2:$C$26,MATCH($C693,'Shultis Faw'!$A$2:$A$26,1)+1)-INDEX('Shultis Faw'!$C$2:$C$26,MATCH($C693,'Shultis Faw'!$A$2:$A$26,1)))/(INDEX('Shultis Faw'!$A$2:$A$26,MATCH($C693,'Shultis Faw'!$A$2:$A$26,1)+1)-INDEX('Shultis Faw'!$A$2:$A$26,MATCH($C693,'Shultis Faw'!$A$2:$A$26,1))),$C693*'Shultis Faw'!$C$2/'Shultis Faw'!$A$2)</f>
        <v>2.8837039999999998</v>
      </c>
      <c r="J693" s="83">
        <f>_xlfn.IFNA(INDEX('Shultis Faw'!$D$2:$D$26,MATCH($C693,'Shultis Faw'!$A$2:$A$26,1))+($C693-INDEX('Shultis Faw'!$A$2:$A$26,MATCH($C693,'Shultis Faw'!$A$2:$A$26,1)))*(INDEX('Shultis Faw'!$D$2:$D$26,MATCH($C693,'Shultis Faw'!$A$2:$A$26,1)+1)-INDEX('Shultis Faw'!$D$2:$D$26,MATCH($C693,'Shultis Faw'!$A$2:$A$26,1)))/(INDEX('Shultis Faw'!$A$2:$A$26,MATCH($C693,'Shultis Faw'!$A$2:$A$26,1)+1)-INDEX('Shultis Faw'!$A$2:$A$26,MATCH($C693,'Shultis Faw'!$A$2:$A$26,1))),$C693*'Shultis Faw'!$D$2/'Shultis Faw'!$A$2)</f>
        <v>2.002456</v>
      </c>
      <c r="K693" s="83">
        <f>_xlfn.IFNA(INDEX('Shultis Faw'!$B$2:$B$26,MATCH($C693,'Shultis Faw'!$A$2:$A$26,1))+($C693-INDEX('Shultis Faw'!$A$2:$A$26,MATCH($C693,'Shultis Faw'!$A$2:$A$26,1)))*(INDEX('Shultis Faw'!$B$2:$B$26,MATCH($C693,'Shultis Faw'!$A$2:$A$26,1)+1)-INDEX('Shultis Faw'!$B$2:$B$26,MATCH($C693,'Shultis Faw'!$A$2:$A$26,1)))/(INDEX('Shultis Faw'!$A$2:$A$26,MATCH($C693,'Shultis Faw'!$A$2:$A$26,1)+1)-INDEX('Shultis Faw'!$A$2:$A$26,MATCH($C693,'Shultis Faw'!$A$2:$A$26,1))),$C693*'Shultis Faw'!$B$2/'Shultis Faw'!$A$2)</f>
        <v>-0.16190600000000002</v>
      </c>
      <c r="L693" s="83">
        <f>_xlfn.IFNA(INDEX('Shultis Faw'!$E$2:$E$26,MATCH($C693,'Shultis Faw'!$A$2:$A$26,1))+($C693-INDEX('Shultis Faw'!$A$2:$A$26,MATCH($C693,'Shultis Faw'!$A$2:$A$26,1)))*(INDEX('Shultis Faw'!$E$2:$E$26,MATCH($C693,'Shultis Faw'!$A$2:$A$26,1)+1)-INDEX('Shultis Faw'!$E$2:$E$26,MATCH($C693,'Shultis Faw'!$A$2:$A$26,1)))/(INDEX('Shultis Faw'!$A$2:$A$26,MATCH($C693,'Shultis Faw'!$A$2:$A$26,1)+1)-INDEX('Shultis Faw'!$A$2:$A$26,MATCH($C693,'Shultis Faw'!$A$2:$A$26,1))),$C693*'Shultis Faw'!$E$2/'Shultis Faw'!$A$2)</f>
        <v>6.4662400000000009E-2</v>
      </c>
      <c r="M693" s="83">
        <f>_xlfn.IFNA(INDEX('Shultis Faw'!$F$2:$F$26,MATCH($C693,'Shultis Faw'!$A$2:$A$26,1))+($C693-INDEX('Shultis Faw'!$A$2:$A$26,MATCH($C693,'Shultis Faw'!$A$2:$A$26,1)))*(INDEX('Shultis Faw'!$F$2:$F$26,MATCH($C693,'Shultis Faw'!$A$2:$A$26,1)+1)-INDEX('Shultis Faw'!$F$2:$F$26,MATCH($C693,'Shultis Faw'!$A$2:$A$26,1)))/(INDEX('Shultis Faw'!$A$2:$A$26,MATCH($C693,'Shultis Faw'!$A$2:$A$26,1)+1)-INDEX('Shultis Faw'!$A$2:$A$26,MATCH($C693,'Shultis Faw'!$A$2:$A$26,1))),$C693*'Shultis Faw'!$F$2/'Shultis Faw'!$A$2)</f>
        <v>14.214188</v>
      </c>
      <c r="N693" s="83">
        <f>J693*(H693*'Externe blootstelling'!$D$23/2)^K693+L693*(TANH(((H693*'Externe blootstelling'!$D$23)/(2*M693))-2)-TANH(-2))/(1-TANH(-2))</f>
        <v>1.8297345262673494</v>
      </c>
      <c r="O693" s="83">
        <f>IF(N693=1,1+(I693-1)*H693*'Externe blootstelling'!$D$23/2,1+(I693-1)*(N693^(H693*'Externe blootstelling'!$D$23/2)-1)/(N693-1))</f>
        <v>5.255256001257278</v>
      </c>
      <c r="P693" s="67">
        <f>G693*EXP(-H693*'Externe blootstelling'!$D$23/2)*O693</f>
        <v>3.872472524862659E-4</v>
      </c>
      <c r="Q693" s="68"/>
    </row>
    <row r="694" spans="1:17" x14ac:dyDescent="0.2">
      <c r="A694" s="217"/>
      <c r="B694" s="64" t="s">
        <v>104</v>
      </c>
      <c r="C694" s="66">
        <v>0.34282999999999997</v>
      </c>
      <c r="D694" s="66">
        <f t="shared" si="46"/>
        <v>5.4852799999999989E-14</v>
      </c>
      <c r="E694" s="66">
        <v>2.9E-4</v>
      </c>
      <c r="F694" s="66">
        <f>_xlfn.IFNA(INDEX('hp (pSv cm2)'!$B$2:$B$52,MATCH($C694,'hp (pSv cm2)'!$A$2:$A$52,1))+($C694-INDEX('hp (pSv cm2)'!$A$2:$A$52,MATCH($C694,'hp (pSv cm2)'!$A$2:$A$52,1)))*(INDEX('hp (pSv cm2)'!$B$2:$B$52,MATCH($C694,'hp (pSv cm2)'!$A$2:$A$52,1)+1)-INDEX('hp (pSv cm2)'!$B$2:$B$52,MATCH($C694,'hp (pSv cm2)'!$A$2:$A$52,1)))/(INDEX('hp (pSv cm2)'!$A$2:$A$52,MATCH($C694,'hp (pSv cm2)'!$A$2:$A$52,1)+1)-INDEX('hp (pSv cm2)'!$A$2:$A$52,MATCH($C694,'hp (pSv cm2)'!$A$2:$A$52,1))),$C694*'hp (pSv cm2)'!$B$2/'hp (pSv cm2)'!$A$2)</f>
        <v>1.7198669999999998</v>
      </c>
      <c r="G694" s="67">
        <f t="shared" si="47"/>
        <v>4.9876142999999993E-4</v>
      </c>
      <c r="H694" s="83">
        <f>_xlfn.IFNA(0.997*(INDEX('Mass attenuation coefficients'!$B$2:$B$37,MATCH($C694,'Mass attenuation coefficients'!$A$2:$A$37,1))+($C694-INDEX('Mass attenuation coefficients'!$A$2:$A$37,MATCH($C694,'Mass attenuation coefficients'!$A$2:$A$37,1)))*(INDEX('Mass attenuation coefficients'!$B$2:$B$37,MATCH($C694,'Mass attenuation coefficients'!$A$2:$A$37,1)+1)-INDEX('Mass attenuation coefficients'!$B$2:$B$37,MATCH($C694,'Mass attenuation coefficients'!$A$2:$A$37,1)))/(INDEX('Mass attenuation coefficients'!$A$2:$A$37,MATCH($C694,'Mass attenuation coefficients'!$A$2:$A$37,1)+1)-INDEX('Mass attenuation coefficients'!$A$2:$A$37,MATCH($C694,'Mass attenuation coefficients'!$A$2:$A$37,1)))),0.997*$C694*'Mass attenuation coefficients'!$B$2/'Mass attenuation coefficients'!$A$2)</f>
        <v>0.11290651125000001</v>
      </c>
      <c r="I694" s="83">
        <f>_xlfn.IFNA(INDEX('Shultis Faw'!$C$2:$C$26,MATCH($C694,'Shultis Faw'!$A$2:$A$26,1))+($C694-INDEX('Shultis Faw'!$A$2:$A$26,MATCH($C694,'Shultis Faw'!$A$2:$A$26,1)))*(INDEX('Shultis Faw'!$C$2:$C$26,MATCH($C694,'Shultis Faw'!$A$2:$A$26,1)+1)-INDEX('Shultis Faw'!$C$2:$C$26,MATCH($C694,'Shultis Faw'!$A$2:$A$26,1)))/(INDEX('Shultis Faw'!$A$2:$A$26,MATCH($C694,'Shultis Faw'!$A$2:$A$26,1)+1)-INDEX('Shultis Faw'!$A$2:$A$26,MATCH($C694,'Shultis Faw'!$A$2:$A$26,1))),$C694*'Shultis Faw'!$C$2/'Shultis Faw'!$A$2)</f>
        <v>2.8086420000000003</v>
      </c>
      <c r="J694" s="83">
        <f>_xlfn.IFNA(INDEX('Shultis Faw'!$D$2:$D$26,MATCH($C694,'Shultis Faw'!$A$2:$A$26,1))+($C694-INDEX('Shultis Faw'!$A$2:$A$26,MATCH($C694,'Shultis Faw'!$A$2:$A$26,1)))*(INDEX('Shultis Faw'!$D$2:$D$26,MATCH($C694,'Shultis Faw'!$A$2:$A$26,1)+1)-INDEX('Shultis Faw'!$D$2:$D$26,MATCH($C694,'Shultis Faw'!$A$2:$A$26,1)))/(INDEX('Shultis Faw'!$A$2:$A$26,MATCH($C694,'Shultis Faw'!$A$2:$A$26,1)+1)-INDEX('Shultis Faw'!$A$2:$A$26,MATCH($C694,'Shultis Faw'!$A$2:$A$26,1))),$C694*'Shultis Faw'!$D$2/'Shultis Faw'!$A$2)</f>
        <v>1.9620379999999999</v>
      </c>
      <c r="K694" s="83">
        <f>_xlfn.IFNA(INDEX('Shultis Faw'!$B$2:$B$26,MATCH($C694,'Shultis Faw'!$A$2:$A$26,1))+($C694-INDEX('Shultis Faw'!$A$2:$A$26,MATCH($C694,'Shultis Faw'!$A$2:$A$26,1)))*(INDEX('Shultis Faw'!$B$2:$B$26,MATCH($C694,'Shultis Faw'!$A$2:$A$26,1)+1)-INDEX('Shultis Faw'!$B$2:$B$26,MATCH($C694,'Shultis Faw'!$A$2:$A$26,1)))/(INDEX('Shultis Faw'!$A$2:$A$26,MATCH($C694,'Shultis Faw'!$A$2:$A$26,1)+1)-INDEX('Shultis Faw'!$A$2:$A$26,MATCH($C694,'Shultis Faw'!$A$2:$A$26,1))),$C694*'Shultis Faw'!$B$2/'Shultis Faw'!$A$2)</f>
        <v>-0.15757550000000001</v>
      </c>
      <c r="L694" s="83">
        <f>_xlfn.IFNA(INDEX('Shultis Faw'!$E$2:$E$26,MATCH($C694,'Shultis Faw'!$A$2:$A$26,1))+($C694-INDEX('Shultis Faw'!$A$2:$A$26,MATCH($C694,'Shultis Faw'!$A$2:$A$26,1)))*(INDEX('Shultis Faw'!$E$2:$E$26,MATCH($C694,'Shultis Faw'!$A$2:$A$26,1)+1)-INDEX('Shultis Faw'!$E$2:$E$26,MATCH($C694,'Shultis Faw'!$A$2:$A$26,1)))/(INDEX('Shultis Faw'!$A$2:$A$26,MATCH($C694,'Shultis Faw'!$A$2:$A$26,1)+1)-INDEX('Shultis Faw'!$A$2:$A$26,MATCH($C694,'Shultis Faw'!$A$2:$A$26,1))),$C694*'Shultis Faw'!$E$2/'Shultis Faw'!$A$2)</f>
        <v>6.2930200000000006E-2</v>
      </c>
      <c r="M694" s="83">
        <f>_xlfn.IFNA(INDEX('Shultis Faw'!$F$2:$F$26,MATCH($C694,'Shultis Faw'!$A$2:$A$26,1))+($C694-INDEX('Shultis Faw'!$A$2:$A$26,MATCH($C694,'Shultis Faw'!$A$2:$A$26,1)))*(INDEX('Shultis Faw'!$F$2:$F$26,MATCH($C694,'Shultis Faw'!$A$2:$A$26,1)+1)-INDEX('Shultis Faw'!$F$2:$F$26,MATCH($C694,'Shultis Faw'!$A$2:$A$26,1)))/(INDEX('Shultis Faw'!$A$2:$A$26,MATCH($C694,'Shultis Faw'!$A$2:$A$26,1)+1)-INDEX('Shultis Faw'!$A$2:$A$26,MATCH($C694,'Shultis Faw'!$A$2:$A$26,1))),$C694*'Shultis Faw'!$F$2/'Shultis Faw'!$A$2)</f>
        <v>14.222849</v>
      </c>
      <c r="N694" s="83">
        <f>J694*(H694*'Externe blootstelling'!$D$23/2)^K694+L694*(TANH(((H694*'Externe blootstelling'!$D$23)/(2*M694))-2)-TANH(-2))/(1-TANH(-2))</f>
        <v>1.8060317003637683</v>
      </c>
      <c r="O694" s="83">
        <f>IF(N694=1,1+(I694-1)*H694*'Externe blootstelling'!$D$23/2,1+(I694-1)*(N694^(H694*'Externe blootstelling'!$D$23/2)-1)/(N694-1))</f>
        <v>4.8625820032842126</v>
      </c>
      <c r="P694" s="67">
        <f>G694*EXP(-H694*'Externe blootstelling'!$D$23/2)*O694</f>
        <v>4.459022643226332E-4</v>
      </c>
      <c r="Q694" s="68"/>
    </row>
    <row r="695" spans="1:17" x14ac:dyDescent="0.2">
      <c r="A695" s="217"/>
      <c r="B695" s="64" t="s">
        <v>104</v>
      </c>
      <c r="C695" s="66">
        <v>0.361846</v>
      </c>
      <c r="D695" s="66">
        <f t="shared" si="46"/>
        <v>5.7895360000000001E-14</v>
      </c>
      <c r="E695" s="66">
        <v>4.2000000000000002E-4</v>
      </c>
      <c r="F695" s="66">
        <f>_xlfn.IFNA(INDEX('hp (pSv cm2)'!$B$2:$B$52,MATCH($C695,'hp (pSv cm2)'!$A$2:$A$52,1))+($C695-INDEX('hp (pSv cm2)'!$A$2:$A$52,MATCH($C695,'hp (pSv cm2)'!$A$2:$A$52,1)))*(INDEX('hp (pSv cm2)'!$B$2:$B$52,MATCH($C695,'hp (pSv cm2)'!$A$2:$A$52,1)+1)-INDEX('hp (pSv cm2)'!$B$2:$B$52,MATCH($C695,'hp (pSv cm2)'!$A$2:$A$52,1)))/(INDEX('hp (pSv cm2)'!$A$2:$A$52,MATCH($C695,'hp (pSv cm2)'!$A$2:$A$52,1)+1)-INDEX('hp (pSv cm2)'!$A$2:$A$52,MATCH($C695,'hp (pSv cm2)'!$A$2:$A$52,1))),$C695*'hp (pSv cm2)'!$B$2/'hp (pSv cm2)'!$A$2)</f>
        <v>1.8130454</v>
      </c>
      <c r="G695" s="67">
        <f t="shared" si="47"/>
        <v>7.6147906800000007E-4</v>
      </c>
      <c r="H695" s="83">
        <f>_xlfn.IFNA(0.997*(INDEX('Mass attenuation coefficients'!$B$2:$B$37,MATCH($C695,'Mass attenuation coefficients'!$A$2:$A$37,1))+($C695-INDEX('Mass attenuation coefficients'!$A$2:$A$37,MATCH($C695,'Mass attenuation coefficients'!$A$2:$A$37,1)))*(INDEX('Mass attenuation coefficients'!$B$2:$B$37,MATCH($C695,'Mass attenuation coefficients'!$A$2:$A$37,1)+1)-INDEX('Mass attenuation coefficients'!$B$2:$B$37,MATCH($C695,'Mass attenuation coefficients'!$A$2:$A$37,1)))/(INDEX('Mass attenuation coefficients'!$A$2:$A$37,MATCH($C695,'Mass attenuation coefficients'!$A$2:$A$37,1)+1)-INDEX('Mass attenuation coefficients'!$A$2:$A$37,MATCH($C695,'Mass attenuation coefficients'!$A$2:$A$37,1)))),0.997*$C695*'Mass attenuation coefficients'!$B$2/'Mass attenuation coefficients'!$A$2)</f>
        <v>0.11053664225</v>
      </c>
      <c r="I695" s="83">
        <f>_xlfn.IFNA(INDEX('Shultis Faw'!$C$2:$C$26,MATCH($C695,'Shultis Faw'!$A$2:$A$26,1))+($C695-INDEX('Shultis Faw'!$A$2:$A$26,MATCH($C695,'Shultis Faw'!$A$2:$A$26,1)))*(INDEX('Shultis Faw'!$C$2:$C$26,MATCH($C695,'Shultis Faw'!$A$2:$A$26,1)+1)-INDEX('Shultis Faw'!$C$2:$C$26,MATCH($C695,'Shultis Faw'!$A$2:$A$26,1)))/(INDEX('Shultis Faw'!$A$2:$A$26,MATCH($C695,'Shultis Faw'!$A$2:$A$26,1)+1)-INDEX('Shultis Faw'!$A$2:$A$26,MATCH($C695,'Shultis Faw'!$A$2:$A$26,1))),$C695*'Shultis Faw'!$C$2/'Shultis Faw'!$A$2)</f>
        <v>2.7592004000000001</v>
      </c>
      <c r="J695" s="83">
        <f>_xlfn.IFNA(INDEX('Shultis Faw'!$D$2:$D$26,MATCH($C695,'Shultis Faw'!$A$2:$A$26,1))+($C695-INDEX('Shultis Faw'!$A$2:$A$26,MATCH($C695,'Shultis Faw'!$A$2:$A$26,1)))*(INDEX('Shultis Faw'!$D$2:$D$26,MATCH($C695,'Shultis Faw'!$A$2:$A$26,1)+1)-INDEX('Shultis Faw'!$D$2:$D$26,MATCH($C695,'Shultis Faw'!$A$2:$A$26,1)))/(INDEX('Shultis Faw'!$A$2:$A$26,MATCH($C695,'Shultis Faw'!$A$2:$A$26,1)+1)-INDEX('Shultis Faw'!$A$2:$A$26,MATCH($C695,'Shultis Faw'!$A$2:$A$26,1))),$C695*'Shultis Faw'!$D$2/'Shultis Faw'!$A$2)</f>
        <v>1.9354155999999998</v>
      </c>
      <c r="K695" s="83">
        <f>_xlfn.IFNA(INDEX('Shultis Faw'!$B$2:$B$26,MATCH($C695,'Shultis Faw'!$A$2:$A$26,1))+($C695-INDEX('Shultis Faw'!$A$2:$A$26,MATCH($C695,'Shultis Faw'!$A$2:$A$26,1)))*(INDEX('Shultis Faw'!$B$2:$B$26,MATCH($C695,'Shultis Faw'!$A$2:$A$26,1)+1)-INDEX('Shultis Faw'!$B$2:$B$26,MATCH($C695,'Shultis Faw'!$A$2:$A$26,1)))/(INDEX('Shultis Faw'!$A$2:$A$26,MATCH($C695,'Shultis Faw'!$A$2:$A$26,1)+1)-INDEX('Shultis Faw'!$A$2:$A$26,MATCH($C695,'Shultis Faw'!$A$2:$A$26,1))),$C695*'Shultis Faw'!$B$2/'Shultis Faw'!$A$2)</f>
        <v>-0.1547231</v>
      </c>
      <c r="L695" s="83">
        <f>_xlfn.IFNA(INDEX('Shultis Faw'!$E$2:$E$26,MATCH($C695,'Shultis Faw'!$A$2:$A$26,1))+($C695-INDEX('Shultis Faw'!$A$2:$A$26,MATCH($C695,'Shultis Faw'!$A$2:$A$26,1)))*(INDEX('Shultis Faw'!$E$2:$E$26,MATCH($C695,'Shultis Faw'!$A$2:$A$26,1)+1)-INDEX('Shultis Faw'!$E$2:$E$26,MATCH($C695,'Shultis Faw'!$A$2:$A$26,1)))/(INDEX('Shultis Faw'!$A$2:$A$26,MATCH($C695,'Shultis Faw'!$A$2:$A$26,1)+1)-INDEX('Shultis Faw'!$A$2:$A$26,MATCH($C695,'Shultis Faw'!$A$2:$A$26,1))),$C695*'Shultis Faw'!$E$2/'Shultis Faw'!$A$2)</f>
        <v>6.1789240000000002E-2</v>
      </c>
      <c r="M695" s="83">
        <f>_xlfn.IFNA(INDEX('Shultis Faw'!$F$2:$F$26,MATCH($C695,'Shultis Faw'!$A$2:$A$26,1))+($C695-INDEX('Shultis Faw'!$A$2:$A$26,MATCH($C695,'Shultis Faw'!$A$2:$A$26,1)))*(INDEX('Shultis Faw'!$F$2:$F$26,MATCH($C695,'Shultis Faw'!$A$2:$A$26,1)+1)-INDEX('Shultis Faw'!$F$2:$F$26,MATCH($C695,'Shultis Faw'!$A$2:$A$26,1)))/(INDEX('Shultis Faw'!$A$2:$A$26,MATCH($C695,'Shultis Faw'!$A$2:$A$26,1)+1)-INDEX('Shultis Faw'!$A$2:$A$26,MATCH($C695,'Shultis Faw'!$A$2:$A$26,1))),$C695*'Shultis Faw'!$F$2/'Shultis Faw'!$A$2)</f>
        <v>14.2285538</v>
      </c>
      <c r="N695" s="83">
        <f>J695*(H695*'Externe blootstelling'!$D$23/2)^K695+L695*(TANH(((H695*'Externe blootstelling'!$D$23)/(2*M695))-2)-TANH(-2))/(1-TANH(-2))</f>
        <v>1.7900611480986091</v>
      </c>
      <c r="O695" s="83">
        <f>IF(N695=1,1+(I695-1)*H695*'Externe blootstelling'!$D$23/2,1+(I695-1)*(N695^(H695*'Externe blootstelling'!$D$23/2)-1)/(N695-1))</f>
        <v>4.6201881640328697</v>
      </c>
      <c r="P695" s="67">
        <f>G695*EXP(-H695*'Externe blootstelling'!$D$23/2)*O695</f>
        <v>6.7024846221257076E-4</v>
      </c>
      <c r="Q695" s="68"/>
    </row>
    <row r="696" spans="1:17" x14ac:dyDescent="0.2">
      <c r="A696" s="217"/>
      <c r="B696" s="64" t="s">
        <v>104</v>
      </c>
      <c r="C696" s="66">
        <v>0.40483400000000003</v>
      </c>
      <c r="D696" s="66">
        <f t="shared" si="46"/>
        <v>6.4773439999999997E-14</v>
      </c>
      <c r="E696" s="66">
        <v>3.8300000000000001E-2</v>
      </c>
      <c r="F696" s="66">
        <f>_xlfn.IFNA(INDEX('hp (pSv cm2)'!$B$2:$B$52,MATCH($C696,'hp (pSv cm2)'!$A$2:$A$52,1))+($C696-INDEX('hp (pSv cm2)'!$A$2:$A$52,MATCH($C696,'hp (pSv cm2)'!$A$2:$A$52,1)))*(INDEX('hp (pSv cm2)'!$B$2:$B$52,MATCH($C696,'hp (pSv cm2)'!$A$2:$A$52,1)+1)-INDEX('hp (pSv cm2)'!$B$2:$B$52,MATCH($C696,'hp (pSv cm2)'!$A$2:$A$52,1)))/(INDEX('hp (pSv cm2)'!$A$2:$A$52,MATCH($C696,'hp (pSv cm2)'!$A$2:$A$52,1)+1)-INDEX('hp (pSv cm2)'!$A$2:$A$52,MATCH($C696,'hp (pSv cm2)'!$A$2:$A$52,1))),$C696*'hp (pSv cm2)'!$B$2/'hp (pSv cm2)'!$A$2)</f>
        <v>2.0227198</v>
      </c>
      <c r="G696" s="67">
        <f t="shared" si="47"/>
        <v>7.7470168340000006E-2</v>
      </c>
      <c r="H696" s="83">
        <f>_xlfn.IFNA(0.997*(INDEX('Mass attenuation coefficients'!$B$2:$B$37,MATCH($C696,'Mass attenuation coefficients'!$A$2:$A$37,1))+($C696-INDEX('Mass attenuation coefficients'!$A$2:$A$37,MATCH($C696,'Mass attenuation coefficients'!$A$2:$A$37,1)))*(INDEX('Mass attenuation coefficients'!$B$2:$B$37,MATCH($C696,'Mass attenuation coefficients'!$A$2:$A$37,1)+1)-INDEX('Mass attenuation coefficients'!$B$2:$B$37,MATCH($C696,'Mass attenuation coefficients'!$A$2:$A$37,1)))/(INDEX('Mass attenuation coefficients'!$A$2:$A$37,MATCH($C696,'Mass attenuation coefficients'!$A$2:$A$37,1)+1)-INDEX('Mass attenuation coefficients'!$A$2:$A$37,MATCH($C696,'Mass attenuation coefficients'!$A$2:$A$37,1)))),0.997*$C696*'Mass attenuation coefficients'!$B$2/'Mass attenuation coefficients'!$A$2)</f>
        <v>0.1053368603346</v>
      </c>
      <c r="I696" s="83">
        <f>_xlfn.IFNA(INDEX('Shultis Faw'!$C$2:$C$26,MATCH($C696,'Shultis Faw'!$A$2:$A$26,1))+($C696-INDEX('Shultis Faw'!$A$2:$A$26,MATCH($C696,'Shultis Faw'!$A$2:$A$26,1)))*(INDEX('Shultis Faw'!$C$2:$C$26,MATCH($C696,'Shultis Faw'!$A$2:$A$26,1)+1)-INDEX('Shultis Faw'!$C$2:$C$26,MATCH($C696,'Shultis Faw'!$A$2:$A$26,1)))/(INDEX('Shultis Faw'!$A$2:$A$26,MATCH($C696,'Shultis Faw'!$A$2:$A$26,1)+1)-INDEX('Shultis Faw'!$A$2:$A$26,MATCH($C696,'Shultis Faw'!$A$2:$A$26,1))),$C696*'Shultis Faw'!$C$2/'Shultis Faw'!$A$2)</f>
        <v>2.6522656000000002</v>
      </c>
      <c r="J696" s="83">
        <f>_xlfn.IFNA(INDEX('Shultis Faw'!$D$2:$D$26,MATCH($C696,'Shultis Faw'!$A$2:$A$26,1))+($C696-INDEX('Shultis Faw'!$A$2:$A$26,MATCH($C696,'Shultis Faw'!$A$2:$A$26,1)))*(INDEX('Shultis Faw'!$D$2:$D$26,MATCH($C696,'Shultis Faw'!$A$2:$A$26,1)+1)-INDEX('Shultis Faw'!$D$2:$D$26,MATCH($C696,'Shultis Faw'!$A$2:$A$26,1)))/(INDEX('Shultis Faw'!$A$2:$A$26,MATCH($C696,'Shultis Faw'!$A$2:$A$26,1)+1)-INDEX('Shultis Faw'!$A$2:$A$26,MATCH($C696,'Shultis Faw'!$A$2:$A$26,1))),$C696*'Shultis Faw'!$D$2/'Shultis Faw'!$A$2)</f>
        <v>1.87639256</v>
      </c>
      <c r="K696" s="83">
        <f>_xlfn.IFNA(INDEX('Shultis Faw'!$B$2:$B$26,MATCH($C696,'Shultis Faw'!$A$2:$A$26,1))+($C696-INDEX('Shultis Faw'!$A$2:$A$26,MATCH($C696,'Shultis Faw'!$A$2:$A$26,1)))*(INDEX('Shultis Faw'!$B$2:$B$26,MATCH($C696,'Shultis Faw'!$A$2:$A$26,1)+1)-INDEX('Shultis Faw'!$B$2:$B$26,MATCH($C696,'Shultis Faw'!$A$2:$A$26,1)))/(INDEX('Shultis Faw'!$A$2:$A$26,MATCH($C696,'Shultis Faw'!$A$2:$A$26,1)+1)-INDEX('Shultis Faw'!$A$2:$A$26,MATCH($C696,'Shultis Faw'!$A$2:$A$26,1))),$C696*'Shultis Faw'!$B$2/'Shultis Faw'!$A$2)</f>
        <v>-0.14832324</v>
      </c>
      <c r="L696" s="83">
        <f>_xlfn.IFNA(INDEX('Shultis Faw'!$E$2:$E$26,MATCH($C696,'Shultis Faw'!$A$2:$A$26,1))+($C696-INDEX('Shultis Faw'!$A$2:$A$26,MATCH($C696,'Shultis Faw'!$A$2:$A$26,1)))*(INDEX('Shultis Faw'!$E$2:$E$26,MATCH($C696,'Shultis Faw'!$A$2:$A$26,1)+1)-INDEX('Shultis Faw'!$E$2:$E$26,MATCH($C696,'Shultis Faw'!$A$2:$A$26,1)))/(INDEX('Shultis Faw'!$A$2:$A$26,MATCH($C696,'Shultis Faw'!$A$2:$A$26,1)+1)-INDEX('Shultis Faw'!$A$2:$A$26,MATCH($C696,'Shultis Faw'!$A$2:$A$26,1))),$C696*'Shultis Faw'!$E$2/'Shultis Faw'!$A$2)</f>
        <v>5.9263133999999995E-2</v>
      </c>
      <c r="M696" s="83">
        <f>_xlfn.IFNA(INDEX('Shultis Faw'!$F$2:$F$26,MATCH($C696,'Shultis Faw'!$A$2:$A$26,1))+($C696-INDEX('Shultis Faw'!$A$2:$A$26,MATCH($C696,'Shultis Faw'!$A$2:$A$26,1)))*(INDEX('Shultis Faw'!$F$2:$F$26,MATCH($C696,'Shultis Faw'!$A$2:$A$26,1)+1)-INDEX('Shultis Faw'!$F$2:$F$26,MATCH($C696,'Shultis Faw'!$A$2:$A$26,1)))/(INDEX('Shultis Faw'!$A$2:$A$26,MATCH($C696,'Shultis Faw'!$A$2:$A$26,1)+1)-INDEX('Shultis Faw'!$A$2:$A$26,MATCH($C696,'Shultis Faw'!$A$2:$A$26,1))),$C696*'Shultis Faw'!$F$2/'Shultis Faw'!$A$2)</f>
        <v>14.244350600000001</v>
      </c>
      <c r="N696" s="83">
        <f>J696*(H696*'Externe blootstelling'!$D$23/2)^K696+L696*(TANH(((H696*'Externe blootstelling'!$D$23)/(2*M696))-2)-TANH(-2))/(1-TANH(-2))</f>
        <v>1.7535629731697262</v>
      </c>
      <c r="O696" s="83">
        <f>IF(N696=1,1+(I696-1)*H696*'Externe blootstelling'!$D$23/2,1+(I696-1)*(N696^(H696*'Externe blootstelling'!$D$23/2)-1)/(N696-1))</f>
        <v>4.1330007293127</v>
      </c>
      <c r="P696" s="67">
        <f>G696*EXP(-H696*'Externe blootstelling'!$D$23/2)*O696</f>
        <v>6.5946495867527988E-2</v>
      </c>
      <c r="Q696" s="68"/>
    </row>
    <row r="697" spans="1:17" x14ac:dyDescent="0.2">
      <c r="A697" s="217"/>
      <c r="B697" s="64" t="s">
        <v>104</v>
      </c>
      <c r="C697" s="66">
        <v>0.42714999999999997</v>
      </c>
      <c r="D697" s="66">
        <f t="shared" si="46"/>
        <v>6.8344000000000001E-14</v>
      </c>
      <c r="E697" s="66">
        <v>1.8100000000000002E-2</v>
      </c>
      <c r="F697" s="66">
        <f>_xlfn.IFNA(INDEX('hp (pSv cm2)'!$B$2:$B$52,MATCH($C697,'hp (pSv cm2)'!$A$2:$A$52,1))+($C697-INDEX('hp (pSv cm2)'!$A$2:$A$52,MATCH($C697,'hp (pSv cm2)'!$A$2:$A$52,1)))*(INDEX('hp (pSv cm2)'!$B$2:$B$52,MATCH($C697,'hp (pSv cm2)'!$A$2:$A$52,1)+1)-INDEX('hp (pSv cm2)'!$B$2:$B$52,MATCH($C697,'hp (pSv cm2)'!$A$2:$A$52,1)))/(INDEX('hp (pSv cm2)'!$A$2:$A$52,MATCH($C697,'hp (pSv cm2)'!$A$2:$A$52,1)+1)-INDEX('hp (pSv cm2)'!$A$2:$A$52,MATCH($C697,'hp (pSv cm2)'!$A$2:$A$52,1))),$C697*'hp (pSv cm2)'!$B$2/'hp (pSv cm2)'!$A$2)</f>
        <v>2.127605</v>
      </c>
      <c r="G697" s="67">
        <f t="shared" si="47"/>
        <v>3.8509650499999999E-2</v>
      </c>
      <c r="H697" s="83">
        <f>_xlfn.IFNA(0.997*(INDEX('Mass attenuation coefficients'!$B$2:$B$37,MATCH($C697,'Mass attenuation coefficients'!$A$2:$A$37,1))+($C697-INDEX('Mass attenuation coefficients'!$A$2:$A$37,MATCH($C697,'Mass attenuation coefficients'!$A$2:$A$37,1)))*(INDEX('Mass attenuation coefficients'!$B$2:$B$37,MATCH($C697,'Mass attenuation coefficients'!$A$2:$A$37,1)+1)-INDEX('Mass attenuation coefficients'!$B$2:$B$37,MATCH($C697,'Mass attenuation coefficients'!$A$2:$A$37,1)))/(INDEX('Mass attenuation coefficients'!$A$2:$A$37,MATCH($C697,'Mass attenuation coefficients'!$A$2:$A$37,1)+1)-INDEX('Mass attenuation coefficients'!$A$2:$A$37,MATCH($C697,'Mass attenuation coefficients'!$A$2:$A$37,1)))),0.997*$C697*'Mass attenuation coefficients'!$B$2/'Mass attenuation coefficients'!$A$2)</f>
        <v>0.10328327283500001</v>
      </c>
      <c r="I697" s="83">
        <f>_xlfn.IFNA(INDEX('Shultis Faw'!$C$2:$C$26,MATCH($C697,'Shultis Faw'!$A$2:$A$26,1))+($C697-INDEX('Shultis Faw'!$A$2:$A$26,MATCH($C697,'Shultis Faw'!$A$2:$A$26,1)))*(INDEX('Shultis Faw'!$C$2:$C$26,MATCH($C697,'Shultis Faw'!$A$2:$A$26,1)+1)-INDEX('Shultis Faw'!$C$2:$C$26,MATCH($C697,'Shultis Faw'!$A$2:$A$26,1)))/(INDEX('Shultis Faw'!$A$2:$A$26,MATCH($C697,'Shultis Faw'!$A$2:$A$26,1)+1)-INDEX('Shultis Faw'!$A$2:$A$26,MATCH($C697,'Shultis Faw'!$A$2:$A$26,1))),$C697*'Shultis Faw'!$C$2/'Shultis Faw'!$A$2)</f>
        <v>2.6165600000000002</v>
      </c>
      <c r="J697" s="83">
        <f>_xlfn.IFNA(INDEX('Shultis Faw'!$D$2:$D$26,MATCH($C697,'Shultis Faw'!$A$2:$A$26,1))+($C697-INDEX('Shultis Faw'!$A$2:$A$26,MATCH($C697,'Shultis Faw'!$A$2:$A$26,1)))*(INDEX('Shultis Faw'!$D$2:$D$26,MATCH($C697,'Shultis Faw'!$A$2:$A$26,1)+1)-INDEX('Shultis Faw'!$D$2:$D$26,MATCH($C697,'Shultis Faw'!$A$2:$A$26,1)))/(INDEX('Shultis Faw'!$A$2:$A$26,MATCH($C697,'Shultis Faw'!$A$2:$A$26,1)+1)-INDEX('Shultis Faw'!$A$2:$A$26,MATCH($C697,'Shultis Faw'!$A$2:$A$26,1))),$C697*'Shultis Faw'!$D$2/'Shultis Faw'!$A$2)</f>
        <v>1.850506</v>
      </c>
      <c r="K697" s="83">
        <f>_xlfn.IFNA(INDEX('Shultis Faw'!$B$2:$B$26,MATCH($C697,'Shultis Faw'!$A$2:$A$26,1))+($C697-INDEX('Shultis Faw'!$A$2:$A$26,MATCH($C697,'Shultis Faw'!$A$2:$A$26,1)))*(INDEX('Shultis Faw'!$B$2:$B$26,MATCH($C697,'Shultis Faw'!$A$2:$A$26,1)+1)-INDEX('Shultis Faw'!$B$2:$B$26,MATCH($C697,'Shultis Faw'!$A$2:$A$26,1)))/(INDEX('Shultis Faw'!$A$2:$A$26,MATCH($C697,'Shultis Faw'!$A$2:$A$26,1)+1)-INDEX('Shultis Faw'!$A$2:$A$26,MATCH($C697,'Shultis Faw'!$A$2:$A$26,1))),$C697*'Shultis Faw'!$B$2/'Shultis Faw'!$A$2)</f>
        <v>-0.14519899999999999</v>
      </c>
      <c r="L697" s="83">
        <f>_xlfn.IFNA(INDEX('Shultis Faw'!$E$2:$E$26,MATCH($C697,'Shultis Faw'!$A$2:$A$26,1))+($C697-INDEX('Shultis Faw'!$A$2:$A$26,MATCH($C697,'Shultis Faw'!$A$2:$A$26,1)))*(INDEX('Shultis Faw'!$E$2:$E$26,MATCH($C697,'Shultis Faw'!$A$2:$A$26,1)+1)-INDEX('Shultis Faw'!$E$2:$E$26,MATCH($C697,'Shultis Faw'!$A$2:$A$26,1)))/(INDEX('Shultis Faw'!$A$2:$A$26,MATCH($C697,'Shultis Faw'!$A$2:$A$26,1)+1)-INDEX('Shultis Faw'!$A$2:$A$26,MATCH($C697,'Shultis Faw'!$A$2:$A$26,1))),$C697*'Shultis Faw'!$E$2/'Shultis Faw'!$A$2)</f>
        <v>5.8169650000000003E-2</v>
      </c>
      <c r="M697" s="83">
        <f>_xlfn.IFNA(INDEX('Shultis Faw'!$F$2:$F$26,MATCH($C697,'Shultis Faw'!$A$2:$A$26,1))+($C697-INDEX('Shultis Faw'!$A$2:$A$26,MATCH($C697,'Shultis Faw'!$A$2:$A$26,1)))*(INDEX('Shultis Faw'!$F$2:$F$26,MATCH($C697,'Shultis Faw'!$A$2:$A$26,1)+1)-INDEX('Shultis Faw'!$F$2:$F$26,MATCH($C697,'Shultis Faw'!$A$2:$A$26,1)))/(INDEX('Shultis Faw'!$A$2:$A$26,MATCH($C697,'Shultis Faw'!$A$2:$A$26,1)+1)-INDEX('Shultis Faw'!$A$2:$A$26,MATCH($C697,'Shultis Faw'!$A$2:$A$26,1))),$C697*'Shultis Faw'!$F$2/'Shultis Faw'!$A$2)</f>
        <v>14.264435000000001</v>
      </c>
      <c r="N697" s="83">
        <f>J697*(H697*'Externe blootstelling'!$D$23/2)^K697+L697*(TANH(((H697*'Externe blootstelling'!$D$23)/(2*M697))-2)-TANH(-2))/(1-TANH(-2))</f>
        <v>1.7367938963224376</v>
      </c>
      <c r="O697" s="83">
        <f>IF(N697=1,1+(I697-1)*H697*'Externe blootstelling'!$D$23/2,1+(I697-1)*(N697^(H697*'Externe blootstelling'!$D$23/2)-1)/(N697-1))</f>
        <v>3.9662615568857209</v>
      </c>
      <c r="P697" s="67">
        <f>G697*EXP(-H697*'Externe blootstelling'!$D$23/2)*O697</f>
        <v>3.244296930960143E-2</v>
      </c>
      <c r="Q697" s="68"/>
    </row>
    <row r="698" spans="1:17" x14ac:dyDescent="0.2">
      <c r="A698" s="217"/>
      <c r="B698" s="64" t="s">
        <v>104</v>
      </c>
      <c r="C698" s="66">
        <v>0.42964999999999998</v>
      </c>
      <c r="D698" s="66">
        <f t="shared" si="46"/>
        <v>6.8743999999999992E-14</v>
      </c>
      <c r="E698" s="66">
        <v>8.0000000000000007E-5</v>
      </c>
      <c r="F698" s="66">
        <f>_xlfn.IFNA(INDEX('hp (pSv cm2)'!$B$2:$B$52,MATCH($C698,'hp (pSv cm2)'!$A$2:$A$52,1))+($C698-INDEX('hp (pSv cm2)'!$A$2:$A$52,MATCH($C698,'hp (pSv cm2)'!$A$2:$A$52,1)))*(INDEX('hp (pSv cm2)'!$B$2:$B$52,MATCH($C698,'hp (pSv cm2)'!$A$2:$A$52,1)+1)-INDEX('hp (pSv cm2)'!$B$2:$B$52,MATCH($C698,'hp (pSv cm2)'!$A$2:$A$52,1)))/(INDEX('hp (pSv cm2)'!$A$2:$A$52,MATCH($C698,'hp (pSv cm2)'!$A$2:$A$52,1)+1)-INDEX('hp (pSv cm2)'!$A$2:$A$52,MATCH($C698,'hp (pSv cm2)'!$A$2:$A$52,1))),$C698*'hp (pSv cm2)'!$B$2/'hp (pSv cm2)'!$A$2)</f>
        <v>2.1393549999999997</v>
      </c>
      <c r="G698" s="67">
        <f t="shared" si="47"/>
        <v>1.7114839999999998E-4</v>
      </c>
      <c r="H698" s="83">
        <f>_xlfn.IFNA(0.997*(INDEX('Mass attenuation coefficients'!$B$2:$B$37,MATCH($C698,'Mass attenuation coefficients'!$A$2:$A$37,1))+($C698-INDEX('Mass attenuation coefficients'!$A$2:$A$37,MATCH($C698,'Mass attenuation coefficients'!$A$2:$A$37,1)))*(INDEX('Mass attenuation coefficients'!$B$2:$B$37,MATCH($C698,'Mass attenuation coefficients'!$A$2:$A$37,1)+1)-INDEX('Mass attenuation coefficients'!$B$2:$B$37,MATCH($C698,'Mass attenuation coefficients'!$A$2:$A$37,1)))/(INDEX('Mass attenuation coefficients'!$A$2:$A$37,MATCH($C698,'Mass attenuation coefficients'!$A$2:$A$37,1)+1)-INDEX('Mass attenuation coefficients'!$A$2:$A$37,MATCH($C698,'Mass attenuation coefficients'!$A$2:$A$37,1)))),0.997*$C698*'Mass attenuation coefficients'!$B$2/'Mass attenuation coefficients'!$A$2)</f>
        <v>0.103053215085</v>
      </c>
      <c r="I698" s="83">
        <f>_xlfn.IFNA(INDEX('Shultis Faw'!$C$2:$C$26,MATCH($C698,'Shultis Faw'!$A$2:$A$26,1))+($C698-INDEX('Shultis Faw'!$A$2:$A$26,MATCH($C698,'Shultis Faw'!$A$2:$A$26,1)))*(INDEX('Shultis Faw'!$C$2:$C$26,MATCH($C698,'Shultis Faw'!$A$2:$A$26,1)+1)-INDEX('Shultis Faw'!$C$2:$C$26,MATCH($C698,'Shultis Faw'!$A$2:$A$26,1)))/(INDEX('Shultis Faw'!$A$2:$A$26,MATCH($C698,'Shultis Faw'!$A$2:$A$26,1)+1)-INDEX('Shultis Faw'!$A$2:$A$26,MATCH($C698,'Shultis Faw'!$A$2:$A$26,1))),$C698*'Shultis Faw'!$C$2/'Shultis Faw'!$A$2)</f>
        <v>2.6125600000000002</v>
      </c>
      <c r="J698" s="83">
        <f>_xlfn.IFNA(INDEX('Shultis Faw'!$D$2:$D$26,MATCH($C698,'Shultis Faw'!$A$2:$A$26,1))+($C698-INDEX('Shultis Faw'!$A$2:$A$26,MATCH($C698,'Shultis Faw'!$A$2:$A$26,1)))*(INDEX('Shultis Faw'!$D$2:$D$26,MATCH($C698,'Shultis Faw'!$A$2:$A$26,1)+1)-INDEX('Shultis Faw'!$D$2:$D$26,MATCH($C698,'Shultis Faw'!$A$2:$A$26,1)))/(INDEX('Shultis Faw'!$A$2:$A$26,MATCH($C698,'Shultis Faw'!$A$2:$A$26,1)+1)-INDEX('Shultis Faw'!$A$2:$A$26,MATCH($C698,'Shultis Faw'!$A$2:$A$26,1))),$C698*'Shultis Faw'!$D$2/'Shultis Faw'!$A$2)</f>
        <v>1.8476060000000001</v>
      </c>
      <c r="K698" s="83">
        <f>_xlfn.IFNA(INDEX('Shultis Faw'!$B$2:$B$26,MATCH($C698,'Shultis Faw'!$A$2:$A$26,1))+($C698-INDEX('Shultis Faw'!$A$2:$A$26,MATCH($C698,'Shultis Faw'!$A$2:$A$26,1)))*(INDEX('Shultis Faw'!$B$2:$B$26,MATCH($C698,'Shultis Faw'!$A$2:$A$26,1)+1)-INDEX('Shultis Faw'!$B$2:$B$26,MATCH($C698,'Shultis Faw'!$A$2:$A$26,1)))/(INDEX('Shultis Faw'!$A$2:$A$26,MATCH($C698,'Shultis Faw'!$A$2:$A$26,1)+1)-INDEX('Shultis Faw'!$A$2:$A$26,MATCH($C698,'Shultis Faw'!$A$2:$A$26,1))),$C698*'Shultis Faw'!$B$2/'Shultis Faw'!$A$2)</f>
        <v>-0.14484900000000001</v>
      </c>
      <c r="L698" s="83">
        <f>_xlfn.IFNA(INDEX('Shultis Faw'!$E$2:$E$26,MATCH($C698,'Shultis Faw'!$A$2:$A$26,1))+($C698-INDEX('Shultis Faw'!$A$2:$A$26,MATCH($C698,'Shultis Faw'!$A$2:$A$26,1)))*(INDEX('Shultis Faw'!$E$2:$E$26,MATCH($C698,'Shultis Faw'!$A$2:$A$26,1)+1)-INDEX('Shultis Faw'!$E$2:$E$26,MATCH($C698,'Shultis Faw'!$A$2:$A$26,1)))/(INDEX('Shultis Faw'!$A$2:$A$26,MATCH($C698,'Shultis Faw'!$A$2:$A$26,1)+1)-INDEX('Shultis Faw'!$A$2:$A$26,MATCH($C698,'Shultis Faw'!$A$2:$A$26,1))),$C698*'Shultis Faw'!$E$2/'Shultis Faw'!$A$2)</f>
        <v>5.8047149999999999E-2</v>
      </c>
      <c r="M698" s="83">
        <f>_xlfn.IFNA(INDEX('Shultis Faw'!$F$2:$F$26,MATCH($C698,'Shultis Faw'!$A$2:$A$26,1))+($C698-INDEX('Shultis Faw'!$A$2:$A$26,MATCH($C698,'Shultis Faw'!$A$2:$A$26,1)))*(INDEX('Shultis Faw'!$F$2:$F$26,MATCH($C698,'Shultis Faw'!$A$2:$A$26,1)+1)-INDEX('Shultis Faw'!$F$2:$F$26,MATCH($C698,'Shultis Faw'!$A$2:$A$26,1)))/(INDEX('Shultis Faw'!$A$2:$A$26,MATCH($C698,'Shultis Faw'!$A$2:$A$26,1)+1)-INDEX('Shultis Faw'!$A$2:$A$26,MATCH($C698,'Shultis Faw'!$A$2:$A$26,1))),$C698*'Shultis Faw'!$F$2/'Shultis Faw'!$A$2)</f>
        <v>14.266685000000001</v>
      </c>
      <c r="N698" s="83">
        <f>J698*(H698*'Externe blootstelling'!$D$23/2)^K698+L698*(TANH(((H698*'Externe blootstelling'!$D$23)/(2*M698))-2)-TANH(-2))/(1-TANH(-2))</f>
        <v>1.734897177531765</v>
      </c>
      <c r="O698" s="83">
        <f>IF(N698=1,1+(I698-1)*H698*'Externe blootstelling'!$D$23/2,1+(I698-1)*(N698^(H698*'Externe blootstelling'!$D$23/2)-1)/(N698-1))</f>
        <v>3.9480435287262394</v>
      </c>
      <c r="P698" s="67">
        <f>G698*EXP(-H698*'Externe blootstelling'!$D$23/2)*O698</f>
        <v>1.4402010921555993E-4</v>
      </c>
      <c r="Q698" s="68"/>
    </row>
    <row r="699" spans="1:17" x14ac:dyDescent="0.2">
      <c r="A699" s="217"/>
      <c r="B699" s="64" t="s">
        <v>104</v>
      </c>
      <c r="C699" s="66">
        <v>0.50407000000000002</v>
      </c>
      <c r="D699" s="66">
        <f t="shared" si="46"/>
        <v>8.0651200000000001E-14</v>
      </c>
      <c r="E699" s="66">
        <v>5.8999999999999998E-5</v>
      </c>
      <c r="F699" s="66">
        <f>_xlfn.IFNA(INDEX('hp (pSv cm2)'!$B$2:$B$52,MATCH($C699,'hp (pSv cm2)'!$A$2:$A$52,1))+($C699-INDEX('hp (pSv cm2)'!$A$2:$A$52,MATCH($C699,'hp (pSv cm2)'!$A$2:$A$52,1)))*(INDEX('hp (pSv cm2)'!$B$2:$B$52,MATCH($C699,'hp (pSv cm2)'!$A$2:$A$52,1)+1)-INDEX('hp (pSv cm2)'!$B$2:$B$52,MATCH($C699,'hp (pSv cm2)'!$A$2:$A$52,1)))/(INDEX('hp (pSv cm2)'!$A$2:$A$52,MATCH($C699,'hp (pSv cm2)'!$A$2:$A$52,1)+1)-INDEX('hp (pSv cm2)'!$A$2:$A$52,MATCH($C699,'hp (pSv cm2)'!$A$2:$A$52,1))),$C699*'hp (pSv cm2)'!$B$2/'hp (pSv cm2)'!$A$2)</f>
        <v>2.4879080000000005</v>
      </c>
      <c r="G699" s="67">
        <f t="shared" si="47"/>
        <v>1.4678657200000003E-4</v>
      </c>
      <c r="H699" s="83">
        <f>_xlfn.IFNA(0.997*(INDEX('Mass attenuation coefficients'!$B$2:$B$37,MATCH($C699,'Mass attenuation coefficients'!$A$2:$A$37,1))+($C699-INDEX('Mass attenuation coefficients'!$A$2:$A$37,MATCH($C699,'Mass attenuation coefficients'!$A$2:$A$37,1)))*(INDEX('Mass attenuation coefficients'!$B$2:$B$37,MATCH($C699,'Mass attenuation coefficients'!$A$2:$A$37,1)+1)-INDEX('Mass attenuation coefficients'!$B$2:$B$37,MATCH($C699,'Mass attenuation coefficients'!$A$2:$A$37,1)))/(INDEX('Mass attenuation coefficients'!$A$2:$A$37,MATCH($C699,'Mass attenuation coefficients'!$A$2:$A$37,1)+1)-INDEX('Mass attenuation coefficients'!$A$2:$A$37,MATCH($C699,'Mass attenuation coefficients'!$A$2:$A$37,1)))),0.997*$C699*'Mass attenuation coefficients'!$B$2/'Mass attenuation coefficients'!$A$2)</f>
        <v>9.6282765551000002E-2</v>
      </c>
      <c r="I699" s="83">
        <f>_xlfn.IFNA(INDEX('Shultis Faw'!$C$2:$C$26,MATCH($C699,'Shultis Faw'!$A$2:$A$26,1))+($C699-INDEX('Shultis Faw'!$A$2:$A$26,MATCH($C699,'Shultis Faw'!$A$2:$A$26,1)))*(INDEX('Shultis Faw'!$C$2:$C$26,MATCH($C699,'Shultis Faw'!$A$2:$A$26,1)+1)-INDEX('Shultis Faw'!$C$2:$C$26,MATCH($C699,'Shultis Faw'!$A$2:$A$26,1)))/(INDEX('Shultis Faw'!$A$2:$A$26,MATCH($C699,'Shultis Faw'!$A$2:$A$26,1)+1)-INDEX('Shultis Faw'!$A$2:$A$26,MATCH($C699,'Shultis Faw'!$A$2:$A$26,1))),$C699*'Shultis Faw'!$C$2/'Shultis Faw'!$A$2)</f>
        <v>2.4949938999999999</v>
      </c>
      <c r="J699" s="83">
        <f>_xlfn.IFNA(INDEX('Shultis Faw'!$D$2:$D$26,MATCH($C699,'Shultis Faw'!$A$2:$A$26,1))+($C699-INDEX('Shultis Faw'!$A$2:$A$26,MATCH($C699,'Shultis Faw'!$A$2:$A$26,1)))*(INDEX('Shultis Faw'!$D$2:$D$26,MATCH($C699,'Shultis Faw'!$A$2:$A$26,1)+1)-INDEX('Shultis Faw'!$D$2:$D$26,MATCH($C699,'Shultis Faw'!$A$2:$A$26,1)))/(INDEX('Shultis Faw'!$A$2:$A$26,MATCH($C699,'Shultis Faw'!$A$2:$A$26,1)+1)-INDEX('Shultis Faw'!$A$2:$A$26,MATCH($C699,'Shultis Faw'!$A$2:$A$26,1))),$C699*'Shultis Faw'!$D$2/'Shultis Faw'!$A$2)</f>
        <v>1.7624591000000001</v>
      </c>
      <c r="K699" s="83">
        <f>_xlfn.IFNA(INDEX('Shultis Faw'!$B$2:$B$26,MATCH($C699,'Shultis Faw'!$A$2:$A$26,1))+($C699-INDEX('Shultis Faw'!$A$2:$A$26,MATCH($C699,'Shultis Faw'!$A$2:$A$26,1)))*(INDEX('Shultis Faw'!$B$2:$B$26,MATCH($C699,'Shultis Faw'!$A$2:$A$26,1)+1)-INDEX('Shultis Faw'!$B$2:$B$26,MATCH($C699,'Shultis Faw'!$A$2:$A$26,1)))/(INDEX('Shultis Faw'!$A$2:$A$26,MATCH($C699,'Shultis Faw'!$A$2:$A$26,1)+1)-INDEX('Shultis Faw'!$A$2:$A$26,MATCH($C699,'Shultis Faw'!$A$2:$A$26,1))),$C699*'Shultis Faw'!$B$2/'Shultis Faw'!$A$2)</f>
        <v>-0.13455230000000001</v>
      </c>
      <c r="L699" s="83">
        <f>_xlfn.IFNA(INDEX('Shultis Faw'!$E$2:$E$26,MATCH($C699,'Shultis Faw'!$A$2:$A$26,1))+($C699-INDEX('Shultis Faw'!$A$2:$A$26,MATCH($C699,'Shultis Faw'!$A$2:$A$26,1)))*(INDEX('Shultis Faw'!$E$2:$E$26,MATCH($C699,'Shultis Faw'!$A$2:$A$26,1)+1)-INDEX('Shultis Faw'!$E$2:$E$26,MATCH($C699,'Shultis Faw'!$A$2:$A$26,1)))/(INDEX('Shultis Faw'!$A$2:$A$26,MATCH($C699,'Shultis Faw'!$A$2:$A$26,1)+1)-INDEX('Shultis Faw'!$A$2:$A$26,MATCH($C699,'Shultis Faw'!$A$2:$A$26,1))),$C699*'Shultis Faw'!$E$2/'Shultis Faw'!$A$2)</f>
        <v>5.4424989999999999E-2</v>
      </c>
      <c r="M699" s="83">
        <f>_xlfn.IFNA(INDEX('Shultis Faw'!$F$2:$F$26,MATCH($C699,'Shultis Faw'!$A$2:$A$26,1))+($C699-INDEX('Shultis Faw'!$A$2:$A$26,MATCH($C699,'Shultis Faw'!$A$2:$A$26,1)))*(INDEX('Shultis Faw'!$F$2:$F$26,MATCH($C699,'Shultis Faw'!$A$2:$A$26,1)+1)-INDEX('Shultis Faw'!$F$2:$F$26,MATCH($C699,'Shultis Faw'!$A$2:$A$26,1)))/(INDEX('Shultis Faw'!$A$2:$A$26,MATCH($C699,'Shultis Faw'!$A$2:$A$26,1)+1)-INDEX('Shultis Faw'!$A$2:$A$26,MATCH($C699,'Shultis Faw'!$A$2:$A$26,1))),$C699*'Shultis Faw'!$F$2/'Shultis Faw'!$A$2)</f>
        <v>14.32593</v>
      </c>
      <c r="N699" s="83">
        <f>J699*(H699*'Externe blootstelling'!$D$23/2)^K699+L699*(TANH(((H699*'Externe blootstelling'!$D$23)/(2*M699))-2)-TANH(-2))/(1-TANH(-2))</f>
        <v>1.6776274749819269</v>
      </c>
      <c r="O699" s="83">
        <f>IF(N699=1,1+(I699-1)*H699*'Externe blootstelling'!$D$23/2,1+(I699-1)*(N699^(H699*'Externe blootstelling'!$D$23/2)-1)/(N699-1))</f>
        <v>3.4513909671769412</v>
      </c>
      <c r="P699" s="67">
        <f>G699*EXP(-H699*'Externe blootstelling'!$D$23/2)*O699</f>
        <v>1.1952379656981564E-4</v>
      </c>
      <c r="Q699" s="68"/>
    </row>
    <row r="700" spans="1:17" x14ac:dyDescent="0.2">
      <c r="A700" s="217"/>
      <c r="B700" s="64" t="s">
        <v>104</v>
      </c>
      <c r="C700" s="66">
        <v>0.60954999999999993</v>
      </c>
      <c r="D700" s="66">
        <f t="shared" si="46"/>
        <v>9.7527999999999971E-14</v>
      </c>
      <c r="E700" s="66">
        <v>3.3E-4</v>
      </c>
      <c r="F700" s="66">
        <f>_xlfn.IFNA(INDEX('hp (pSv cm2)'!$B$2:$B$52,MATCH($C700,'hp (pSv cm2)'!$A$2:$A$52,1))+($C700-INDEX('hp (pSv cm2)'!$A$2:$A$52,MATCH($C700,'hp (pSv cm2)'!$A$2:$A$52,1)))*(INDEX('hp (pSv cm2)'!$B$2:$B$52,MATCH($C700,'hp (pSv cm2)'!$A$2:$A$52,1)+1)-INDEX('hp (pSv cm2)'!$B$2:$B$52,MATCH($C700,'hp (pSv cm2)'!$A$2:$A$52,1)))/(INDEX('hp (pSv cm2)'!$A$2:$A$52,MATCH($C700,'hp (pSv cm2)'!$A$2:$A$52,1)+1)-INDEX('hp (pSv cm2)'!$A$2:$A$52,MATCH($C700,'hp (pSv cm2)'!$A$2:$A$52,1))),$C700*'hp (pSv cm2)'!$B$2/'hp (pSv cm2)'!$A$2)</f>
        <v>2.9491549999999997</v>
      </c>
      <c r="G700" s="67">
        <f t="shared" si="47"/>
        <v>9.7322114999999986E-4</v>
      </c>
      <c r="H700" s="83">
        <f>_xlfn.IFNA(0.997*(INDEX('Mass attenuation coefficients'!$B$2:$B$37,MATCH($C700,'Mass attenuation coefficients'!$A$2:$A$37,1))+($C700-INDEX('Mass attenuation coefficients'!$A$2:$A$37,MATCH($C700,'Mass attenuation coefficients'!$A$2:$A$37,1)))*(INDEX('Mass attenuation coefficients'!$B$2:$B$37,MATCH($C700,'Mass attenuation coefficients'!$A$2:$A$37,1)+1)-INDEX('Mass attenuation coefficients'!$B$2:$B$37,MATCH($C700,'Mass attenuation coefficients'!$A$2:$A$37,1)))/(INDEX('Mass attenuation coefficients'!$A$2:$A$37,MATCH($C700,'Mass attenuation coefficients'!$A$2:$A$37,1)+1)-INDEX('Mass attenuation coefficients'!$A$2:$A$37,MATCH($C700,'Mass attenuation coefficients'!$A$2:$A$37,1)))),0.997*$C700*'Mass attenuation coefficients'!$B$2/'Mass attenuation coefficients'!$A$2)</f>
        <v>8.8771930357500015E-2</v>
      </c>
      <c r="I700" s="83">
        <f>_xlfn.IFNA(INDEX('Shultis Faw'!$C$2:$C$26,MATCH($C700,'Shultis Faw'!$A$2:$A$26,1))+($C700-INDEX('Shultis Faw'!$A$2:$A$26,MATCH($C700,'Shultis Faw'!$A$2:$A$26,1)))*(INDEX('Shultis Faw'!$C$2:$C$26,MATCH($C700,'Shultis Faw'!$A$2:$A$26,1)+1)-INDEX('Shultis Faw'!$C$2:$C$26,MATCH($C700,'Shultis Faw'!$A$2:$A$26,1)))/(INDEX('Shultis Faw'!$A$2:$A$26,MATCH($C700,'Shultis Faw'!$A$2:$A$26,1)+1)-INDEX('Shultis Faw'!$A$2:$A$26,MATCH($C700,'Shultis Faw'!$A$2:$A$26,1))),$C700*'Shultis Faw'!$C$2/'Shultis Faw'!$A$2)</f>
        <v>2.3691212500000001</v>
      </c>
      <c r="J700" s="83">
        <f>_xlfn.IFNA(INDEX('Shultis Faw'!$D$2:$D$26,MATCH($C700,'Shultis Faw'!$A$2:$A$26,1))+($C700-INDEX('Shultis Faw'!$A$2:$A$26,MATCH($C700,'Shultis Faw'!$A$2:$A$26,1)))*(INDEX('Shultis Faw'!$D$2:$D$26,MATCH($C700,'Shultis Faw'!$A$2:$A$26,1)+1)-INDEX('Shultis Faw'!$D$2:$D$26,MATCH($C700,'Shultis Faw'!$A$2:$A$26,1)))/(INDEX('Shultis Faw'!$A$2:$A$26,MATCH($C700,'Shultis Faw'!$A$2:$A$26,1)+1)-INDEX('Shultis Faw'!$A$2:$A$26,MATCH($C700,'Shultis Faw'!$A$2:$A$26,1))),$C700*'Shultis Faw'!$D$2/'Shultis Faw'!$A$2)</f>
        <v>1.6725537500000001</v>
      </c>
      <c r="K700" s="83">
        <f>_xlfn.IFNA(INDEX('Shultis Faw'!$B$2:$B$26,MATCH($C700,'Shultis Faw'!$A$2:$A$26,1))+($C700-INDEX('Shultis Faw'!$A$2:$A$26,MATCH($C700,'Shultis Faw'!$A$2:$A$26,1)))*(INDEX('Shultis Faw'!$B$2:$B$26,MATCH($C700,'Shultis Faw'!$A$2:$A$26,1)+1)-INDEX('Shultis Faw'!$B$2:$B$26,MATCH($C700,'Shultis Faw'!$A$2:$A$26,1)))/(INDEX('Shultis Faw'!$A$2:$A$26,MATCH($C700,'Shultis Faw'!$A$2:$A$26,1)+1)-INDEX('Shultis Faw'!$A$2:$A$26,MATCH($C700,'Shultis Faw'!$A$2:$A$26,1))),$C700*'Shultis Faw'!$B$2/'Shultis Faw'!$A$2)</f>
        <v>-0.12309275</v>
      </c>
      <c r="L700" s="83">
        <f>_xlfn.IFNA(INDEX('Shultis Faw'!$E$2:$E$26,MATCH($C700,'Shultis Faw'!$A$2:$A$26,1))+($C700-INDEX('Shultis Faw'!$A$2:$A$26,MATCH($C700,'Shultis Faw'!$A$2:$A$26,1)))*(INDEX('Shultis Faw'!$E$2:$E$26,MATCH($C700,'Shultis Faw'!$A$2:$A$26,1)+1)-INDEX('Shultis Faw'!$E$2:$E$26,MATCH($C700,'Shultis Faw'!$A$2:$A$26,1)))/(INDEX('Shultis Faw'!$A$2:$A$26,MATCH($C700,'Shultis Faw'!$A$2:$A$26,1)+1)-INDEX('Shultis Faw'!$A$2:$A$26,MATCH($C700,'Shultis Faw'!$A$2:$A$26,1))),$C700*'Shultis Faw'!$E$2/'Shultis Faw'!$A$2)</f>
        <v>4.9984849999999997E-2</v>
      </c>
      <c r="M700" s="83">
        <f>_xlfn.IFNA(INDEX('Shultis Faw'!$F$2:$F$26,MATCH($C700,'Shultis Faw'!$A$2:$A$26,1))+($C700-INDEX('Shultis Faw'!$A$2:$A$26,MATCH($C700,'Shultis Faw'!$A$2:$A$26,1)))*(INDEX('Shultis Faw'!$F$2:$F$26,MATCH($C700,'Shultis Faw'!$A$2:$A$26,1)+1)-INDEX('Shultis Faw'!$F$2:$F$26,MATCH($C700,'Shultis Faw'!$A$2:$A$26,1)))/(INDEX('Shultis Faw'!$A$2:$A$26,MATCH($C700,'Shultis Faw'!$A$2:$A$26,1)+1)-INDEX('Shultis Faw'!$A$2:$A$26,MATCH($C700,'Shultis Faw'!$A$2:$A$26,1))),$C700*'Shultis Faw'!$F$2/'Shultis Faw'!$A$2)</f>
        <v>14.236207500000001</v>
      </c>
      <c r="N700" s="83">
        <f>J700*(H700*'Externe blootstelling'!$D$23/2)^K700+L700*(TANH(((H700*'Externe blootstelling'!$D$23)/(2*M700))-2)-TANH(-2))/(1-TANH(-2))</f>
        <v>1.6148083092685441</v>
      </c>
      <c r="O700" s="83">
        <f>IF(N700=1,1+(I700-1)*H700*'Externe blootstelling'!$D$23/2,1+(I700-1)*(N700^(H700*'Externe blootstelling'!$D$23/2)-1)/(N700-1))</f>
        <v>2.988423586783755</v>
      </c>
      <c r="P700" s="67">
        <f>G700*EXP(-H700*'Externe blootstelling'!$D$23/2)*O700</f>
        <v>7.6799130203492744E-4</v>
      </c>
      <c r="Q700" s="68"/>
    </row>
    <row r="701" spans="1:17" x14ac:dyDescent="0.2">
      <c r="A701" s="217"/>
      <c r="B701" s="64" t="s">
        <v>104</v>
      </c>
      <c r="C701" s="66">
        <v>0.67580999999999991</v>
      </c>
      <c r="D701" s="66">
        <f t="shared" si="46"/>
        <v>1.0812959999999997E-13</v>
      </c>
      <c r="E701" s="66">
        <v>1.8100000000000001E-4</v>
      </c>
      <c r="F701" s="66">
        <f>_xlfn.IFNA(INDEX('hp (pSv cm2)'!$B$2:$B$52,MATCH($C701,'hp (pSv cm2)'!$A$2:$A$52,1))+($C701-INDEX('hp (pSv cm2)'!$A$2:$A$52,MATCH($C701,'hp (pSv cm2)'!$A$2:$A$52,1)))*(INDEX('hp (pSv cm2)'!$B$2:$B$52,MATCH($C701,'hp (pSv cm2)'!$A$2:$A$52,1)+1)-INDEX('hp (pSv cm2)'!$B$2:$B$52,MATCH($C701,'hp (pSv cm2)'!$A$2:$A$52,1)))/(INDEX('hp (pSv cm2)'!$A$2:$A$52,MATCH($C701,'hp (pSv cm2)'!$A$2:$A$52,1)+1)-INDEX('hp (pSv cm2)'!$A$2:$A$52,MATCH($C701,'hp (pSv cm2)'!$A$2:$A$52,1))),$C701*'hp (pSv cm2)'!$B$2/'hp (pSv cm2)'!$A$2)</f>
        <v>3.2208209999999999</v>
      </c>
      <c r="G701" s="67">
        <f t="shared" si="47"/>
        <v>5.8296860099999999E-4</v>
      </c>
      <c r="H701" s="83">
        <f>_xlfn.IFNA(0.997*(INDEX('Mass attenuation coefficients'!$B$2:$B$37,MATCH($C701,'Mass attenuation coefficients'!$A$2:$A$37,1))+($C701-INDEX('Mass attenuation coefficients'!$A$2:$A$37,MATCH($C701,'Mass attenuation coefficients'!$A$2:$A$37,1)))*(INDEX('Mass attenuation coefficients'!$B$2:$B$37,MATCH($C701,'Mass attenuation coefficients'!$A$2:$A$37,1)+1)-INDEX('Mass attenuation coefficients'!$B$2:$B$37,MATCH($C701,'Mass attenuation coefficients'!$A$2:$A$37,1)))/(INDEX('Mass attenuation coefficients'!$A$2:$A$37,MATCH($C701,'Mass attenuation coefficients'!$A$2:$A$37,1)+1)-INDEX('Mass attenuation coefficients'!$A$2:$A$37,MATCH($C701,'Mass attenuation coefficients'!$A$2:$A$37,1)))),0.997*$C701*'Mass attenuation coefficients'!$B$2/'Mass attenuation coefficients'!$A$2)</f>
        <v>8.5168290806500013E-2</v>
      </c>
      <c r="I701" s="83">
        <f>_xlfn.IFNA(INDEX('Shultis Faw'!$C$2:$C$26,MATCH($C701,'Shultis Faw'!$A$2:$A$26,1))+($C701-INDEX('Shultis Faw'!$A$2:$A$26,MATCH($C701,'Shultis Faw'!$A$2:$A$26,1)))*(INDEX('Shultis Faw'!$C$2:$C$26,MATCH($C701,'Shultis Faw'!$A$2:$A$26,1)+1)-INDEX('Shultis Faw'!$C$2:$C$26,MATCH($C701,'Shultis Faw'!$A$2:$A$26,1)))/(INDEX('Shultis Faw'!$A$2:$A$26,MATCH($C701,'Shultis Faw'!$A$2:$A$26,1)+1)-INDEX('Shultis Faw'!$A$2:$A$26,MATCH($C701,'Shultis Faw'!$A$2:$A$26,1))),$C701*'Shultis Faw'!$C$2/'Shultis Faw'!$A$2)</f>
        <v>2.3144567500000002</v>
      </c>
      <c r="J701" s="83">
        <f>_xlfn.IFNA(INDEX('Shultis Faw'!$D$2:$D$26,MATCH($C701,'Shultis Faw'!$A$2:$A$26,1))+($C701-INDEX('Shultis Faw'!$A$2:$A$26,MATCH($C701,'Shultis Faw'!$A$2:$A$26,1)))*(INDEX('Shultis Faw'!$D$2:$D$26,MATCH($C701,'Shultis Faw'!$A$2:$A$26,1)+1)-INDEX('Shultis Faw'!$D$2:$D$26,MATCH($C701,'Shultis Faw'!$A$2:$A$26,1)))/(INDEX('Shultis Faw'!$A$2:$A$26,MATCH($C701,'Shultis Faw'!$A$2:$A$26,1)+1)-INDEX('Shultis Faw'!$A$2:$A$26,MATCH($C701,'Shultis Faw'!$A$2:$A$26,1))),$C701*'Shultis Faw'!$D$2/'Shultis Faw'!$A$2)</f>
        <v>1.6278282500000001</v>
      </c>
      <c r="K701" s="83">
        <f>_xlfn.IFNA(INDEX('Shultis Faw'!$B$2:$B$26,MATCH($C701,'Shultis Faw'!$A$2:$A$26,1))+($C701-INDEX('Shultis Faw'!$A$2:$A$26,MATCH($C701,'Shultis Faw'!$A$2:$A$26,1)))*(INDEX('Shultis Faw'!$B$2:$B$26,MATCH($C701,'Shultis Faw'!$A$2:$A$26,1)+1)-INDEX('Shultis Faw'!$B$2:$B$26,MATCH($C701,'Shultis Faw'!$A$2:$A$26,1)))/(INDEX('Shultis Faw'!$A$2:$A$26,MATCH($C701,'Shultis Faw'!$A$2:$A$26,1)+1)-INDEX('Shultis Faw'!$A$2:$A$26,MATCH($C701,'Shultis Faw'!$A$2:$A$26,1))),$C701*'Shultis Faw'!$B$2/'Shultis Faw'!$A$2)</f>
        <v>-0.11679805000000001</v>
      </c>
      <c r="L701" s="83">
        <f>_xlfn.IFNA(INDEX('Shultis Faw'!$E$2:$E$26,MATCH($C701,'Shultis Faw'!$A$2:$A$26,1))+($C701-INDEX('Shultis Faw'!$A$2:$A$26,MATCH($C701,'Shultis Faw'!$A$2:$A$26,1)))*(INDEX('Shultis Faw'!$E$2:$E$26,MATCH($C701,'Shultis Faw'!$A$2:$A$26,1)+1)-INDEX('Shultis Faw'!$E$2:$E$26,MATCH($C701,'Shultis Faw'!$A$2:$A$26,1)))/(INDEX('Shultis Faw'!$A$2:$A$26,MATCH($C701,'Shultis Faw'!$A$2:$A$26,1)+1)-INDEX('Shultis Faw'!$A$2:$A$26,MATCH($C701,'Shultis Faw'!$A$2:$A$26,1))),$C701*'Shultis Faw'!$E$2/'Shultis Faw'!$A$2)</f>
        <v>4.7798270000000004E-2</v>
      </c>
      <c r="M701" s="83">
        <f>_xlfn.IFNA(INDEX('Shultis Faw'!$F$2:$F$26,MATCH($C701,'Shultis Faw'!$A$2:$A$26,1))+($C701-INDEX('Shultis Faw'!$A$2:$A$26,MATCH($C701,'Shultis Faw'!$A$2:$A$26,1)))*(INDEX('Shultis Faw'!$F$2:$F$26,MATCH($C701,'Shultis Faw'!$A$2:$A$26,1)+1)-INDEX('Shultis Faw'!$F$2:$F$26,MATCH($C701,'Shultis Faw'!$A$2:$A$26,1)))/(INDEX('Shultis Faw'!$A$2:$A$26,MATCH($C701,'Shultis Faw'!$A$2:$A$26,1)+1)-INDEX('Shultis Faw'!$A$2:$A$26,MATCH($C701,'Shultis Faw'!$A$2:$A$26,1))),$C701*'Shultis Faw'!$F$2/'Shultis Faw'!$A$2)</f>
        <v>14.2792765</v>
      </c>
      <c r="N701" s="83">
        <f>J701*(H701*'Externe blootstelling'!$D$23/2)^K701+L701*(TANH(((H701*'Externe blootstelling'!$D$23)/(2*M701))-2)-TANH(-2))/(1-TANH(-2))</f>
        <v>1.582089137363794</v>
      </c>
      <c r="O701" s="83">
        <f>IF(N701=1,1+(I701-1)*H701*'Externe blootstelling'!$D$23/2,1+(I701-1)*(N701^(H701*'Externe blootstelling'!$D$23/2)-1)/(N701-1))</f>
        <v>2.7995222049723605</v>
      </c>
      <c r="P701" s="67">
        <f>G701*EXP(-H701*'Externe blootstelling'!$D$23/2)*O701</f>
        <v>4.5489095309914502E-4</v>
      </c>
      <c r="Q701" s="68"/>
    </row>
    <row r="702" spans="1:17" x14ac:dyDescent="0.2">
      <c r="A702" s="217"/>
      <c r="B702" s="64" t="s">
        <v>104</v>
      </c>
      <c r="C702" s="66">
        <v>0.70467499999999994</v>
      </c>
      <c r="D702" s="66">
        <f t="shared" si="46"/>
        <v>1.1274799999999998E-13</v>
      </c>
      <c r="E702" s="66">
        <v>4.6999999999999993E-3</v>
      </c>
      <c r="F702" s="66">
        <f>_xlfn.IFNA(INDEX('hp (pSv cm2)'!$B$2:$B$52,MATCH($C702,'hp (pSv cm2)'!$A$2:$A$52,1))+($C702-INDEX('hp (pSv cm2)'!$A$2:$A$52,MATCH($C702,'hp (pSv cm2)'!$A$2:$A$52,1)))*(INDEX('hp (pSv cm2)'!$B$2:$B$52,MATCH($C702,'hp (pSv cm2)'!$A$2:$A$52,1)+1)-INDEX('hp (pSv cm2)'!$B$2:$B$52,MATCH($C702,'hp (pSv cm2)'!$A$2:$A$52,1)))/(INDEX('hp (pSv cm2)'!$A$2:$A$52,MATCH($C702,'hp (pSv cm2)'!$A$2:$A$52,1)+1)-INDEX('hp (pSv cm2)'!$A$2:$A$52,MATCH($C702,'hp (pSv cm2)'!$A$2:$A$52,1))),$C702*'hp (pSv cm2)'!$B$2/'hp (pSv cm2)'!$A$2)</f>
        <v>3.3391674999999998</v>
      </c>
      <c r="G702" s="67">
        <f t="shared" si="47"/>
        <v>1.5694087249999995E-2</v>
      </c>
      <c r="H702" s="83">
        <f>_xlfn.IFNA(0.997*(INDEX('Mass attenuation coefficients'!$B$2:$B$37,MATCH($C702,'Mass attenuation coefficients'!$A$2:$A$37,1))+($C702-INDEX('Mass attenuation coefficients'!$A$2:$A$37,MATCH($C702,'Mass attenuation coefficients'!$A$2:$A$37,1)))*(INDEX('Mass attenuation coefficients'!$B$2:$B$37,MATCH($C702,'Mass attenuation coefficients'!$A$2:$A$37,1)+1)-INDEX('Mass attenuation coefficients'!$B$2:$B$37,MATCH($C702,'Mass attenuation coefficients'!$A$2:$A$37,1)))/(INDEX('Mass attenuation coefficients'!$A$2:$A$37,MATCH($C702,'Mass attenuation coefficients'!$A$2:$A$37,1)+1)-INDEX('Mass attenuation coefficients'!$A$2:$A$37,MATCH($C702,'Mass attenuation coefficients'!$A$2:$A$37,1)))),0.997*$C702*'Mass attenuation coefficients'!$B$2/'Mass attenuation coefficients'!$A$2)</f>
        <v>8.359842881375E-2</v>
      </c>
      <c r="I702" s="83">
        <f>_xlfn.IFNA(INDEX('Shultis Faw'!$C$2:$C$26,MATCH($C702,'Shultis Faw'!$A$2:$A$26,1))+($C702-INDEX('Shultis Faw'!$A$2:$A$26,MATCH($C702,'Shultis Faw'!$A$2:$A$26,1)))*(INDEX('Shultis Faw'!$C$2:$C$26,MATCH($C702,'Shultis Faw'!$A$2:$A$26,1)+1)-INDEX('Shultis Faw'!$C$2:$C$26,MATCH($C702,'Shultis Faw'!$A$2:$A$26,1)))/(INDEX('Shultis Faw'!$A$2:$A$26,MATCH($C702,'Shultis Faw'!$A$2:$A$26,1)+1)-INDEX('Shultis Faw'!$A$2:$A$26,MATCH($C702,'Shultis Faw'!$A$2:$A$26,1))),$C702*'Shultis Faw'!$C$2/'Shultis Faw'!$A$2)</f>
        <v>2.2906431249999999</v>
      </c>
      <c r="J702" s="83">
        <f>_xlfn.IFNA(INDEX('Shultis Faw'!$D$2:$D$26,MATCH($C702,'Shultis Faw'!$A$2:$A$26,1))+($C702-INDEX('Shultis Faw'!$A$2:$A$26,MATCH($C702,'Shultis Faw'!$A$2:$A$26,1)))*(INDEX('Shultis Faw'!$D$2:$D$26,MATCH($C702,'Shultis Faw'!$A$2:$A$26,1)+1)-INDEX('Shultis Faw'!$D$2:$D$26,MATCH($C702,'Shultis Faw'!$A$2:$A$26,1)))/(INDEX('Shultis Faw'!$A$2:$A$26,MATCH($C702,'Shultis Faw'!$A$2:$A$26,1)+1)-INDEX('Shultis Faw'!$A$2:$A$26,MATCH($C702,'Shultis Faw'!$A$2:$A$26,1))),$C702*'Shultis Faw'!$D$2/'Shultis Faw'!$A$2)</f>
        <v>1.6083443750000002</v>
      </c>
      <c r="K702" s="83">
        <f>_xlfn.IFNA(INDEX('Shultis Faw'!$B$2:$B$26,MATCH($C702,'Shultis Faw'!$A$2:$A$26,1))+($C702-INDEX('Shultis Faw'!$A$2:$A$26,MATCH($C702,'Shultis Faw'!$A$2:$A$26,1)))*(INDEX('Shultis Faw'!$B$2:$B$26,MATCH($C702,'Shultis Faw'!$A$2:$A$26,1)+1)-INDEX('Shultis Faw'!$B$2:$B$26,MATCH($C702,'Shultis Faw'!$A$2:$A$26,1)))/(INDEX('Shultis Faw'!$A$2:$A$26,MATCH($C702,'Shultis Faw'!$A$2:$A$26,1)+1)-INDEX('Shultis Faw'!$A$2:$A$26,MATCH($C702,'Shultis Faw'!$A$2:$A$26,1))),$C702*'Shultis Faw'!$B$2/'Shultis Faw'!$A$2)</f>
        <v>-0.114055875</v>
      </c>
      <c r="L702" s="83">
        <f>_xlfn.IFNA(INDEX('Shultis Faw'!$E$2:$E$26,MATCH($C702,'Shultis Faw'!$A$2:$A$26,1))+($C702-INDEX('Shultis Faw'!$A$2:$A$26,MATCH($C702,'Shultis Faw'!$A$2:$A$26,1)))*(INDEX('Shultis Faw'!$E$2:$E$26,MATCH($C702,'Shultis Faw'!$A$2:$A$26,1)+1)-INDEX('Shultis Faw'!$E$2:$E$26,MATCH($C702,'Shultis Faw'!$A$2:$A$26,1)))/(INDEX('Shultis Faw'!$A$2:$A$26,MATCH($C702,'Shultis Faw'!$A$2:$A$26,1)+1)-INDEX('Shultis Faw'!$A$2:$A$26,MATCH($C702,'Shultis Faw'!$A$2:$A$26,1))),$C702*'Shultis Faw'!$E$2/'Shultis Faw'!$A$2)</f>
        <v>4.6845725000000005E-2</v>
      </c>
      <c r="M702" s="83">
        <f>_xlfn.IFNA(INDEX('Shultis Faw'!$F$2:$F$26,MATCH($C702,'Shultis Faw'!$A$2:$A$26,1))+($C702-INDEX('Shultis Faw'!$A$2:$A$26,MATCH($C702,'Shultis Faw'!$A$2:$A$26,1)))*(INDEX('Shultis Faw'!$F$2:$F$26,MATCH($C702,'Shultis Faw'!$A$2:$A$26,1)+1)-INDEX('Shultis Faw'!$F$2:$F$26,MATCH($C702,'Shultis Faw'!$A$2:$A$26,1)))/(INDEX('Shultis Faw'!$A$2:$A$26,MATCH($C702,'Shultis Faw'!$A$2:$A$26,1)+1)-INDEX('Shultis Faw'!$A$2:$A$26,MATCH($C702,'Shultis Faw'!$A$2:$A$26,1))),$C702*'Shultis Faw'!$F$2/'Shultis Faw'!$A$2)</f>
        <v>14.29803875</v>
      </c>
      <c r="N702" s="83">
        <f>J702*(H702*'Externe blootstelling'!$D$23/2)^K702+L702*(TANH(((H702*'Externe blootstelling'!$D$23)/(2*M702))-2)-TANH(-2))/(1-TANH(-2))</f>
        <v>1.5675202870383331</v>
      </c>
      <c r="O702" s="83">
        <f>IF(N702=1,1+(I702-1)*H702*'Externe blootstelling'!$D$23/2,1+(I702-1)*(N702^(H702*'Externe blootstelling'!$D$23/2)-1)/(N702-1))</f>
        <v>2.7217468299509022</v>
      </c>
      <c r="P702" s="67">
        <f>G702*EXP(-H702*'Externe blootstelling'!$D$23/2)*O702</f>
        <v>1.2189580043552342E-2</v>
      </c>
      <c r="Q702" s="68"/>
    </row>
    <row r="703" spans="1:17" x14ac:dyDescent="0.2">
      <c r="A703" s="217"/>
      <c r="B703" s="64" t="s">
        <v>104</v>
      </c>
      <c r="C703" s="66">
        <v>0.76667999999999992</v>
      </c>
      <c r="D703" s="66">
        <f t="shared" si="46"/>
        <v>1.2266879999999999E-13</v>
      </c>
      <c r="E703" s="66">
        <v>6.1999999999999998E-3</v>
      </c>
      <c r="F703" s="66">
        <f>_xlfn.IFNA(INDEX('hp (pSv cm2)'!$B$2:$B$52,MATCH($C703,'hp (pSv cm2)'!$A$2:$A$52,1))+($C703-INDEX('hp (pSv cm2)'!$A$2:$A$52,MATCH($C703,'hp (pSv cm2)'!$A$2:$A$52,1)))*(INDEX('hp (pSv cm2)'!$B$2:$B$52,MATCH($C703,'hp (pSv cm2)'!$A$2:$A$52,1)+1)-INDEX('hp (pSv cm2)'!$B$2:$B$52,MATCH($C703,'hp (pSv cm2)'!$A$2:$A$52,1)))/(INDEX('hp (pSv cm2)'!$A$2:$A$52,MATCH($C703,'hp (pSv cm2)'!$A$2:$A$52,1)+1)-INDEX('hp (pSv cm2)'!$A$2:$A$52,MATCH($C703,'hp (pSv cm2)'!$A$2:$A$52,1))),$C703*'hp (pSv cm2)'!$B$2/'hp (pSv cm2)'!$A$2)</f>
        <v>3.5933879999999996</v>
      </c>
      <c r="G703" s="67">
        <f t="shared" si="47"/>
        <v>2.2279005599999995E-2</v>
      </c>
      <c r="H703" s="83">
        <f>_xlfn.IFNA(0.997*(INDEX('Mass attenuation coefficients'!$B$2:$B$37,MATCH($C703,'Mass attenuation coefficients'!$A$2:$A$37,1))+($C703-INDEX('Mass attenuation coefficients'!$A$2:$A$37,MATCH($C703,'Mass attenuation coefficients'!$A$2:$A$37,1)))*(INDEX('Mass attenuation coefficients'!$B$2:$B$37,MATCH($C703,'Mass attenuation coefficients'!$A$2:$A$37,1)+1)-INDEX('Mass attenuation coefficients'!$B$2:$B$37,MATCH($C703,'Mass attenuation coefficients'!$A$2:$A$37,1)))/(INDEX('Mass attenuation coefficients'!$A$2:$A$37,MATCH($C703,'Mass attenuation coefficients'!$A$2:$A$37,1)+1)-INDEX('Mass attenuation coefficients'!$A$2:$A$37,MATCH($C703,'Mass attenuation coefficients'!$A$2:$A$37,1)))),0.997*$C703*'Mass attenuation coefficients'!$B$2/'Mass attenuation coefficients'!$A$2)</f>
        <v>8.0226203181999994E-2</v>
      </c>
      <c r="I703" s="83">
        <f>_xlfn.IFNA(INDEX('Shultis Faw'!$C$2:$C$26,MATCH($C703,'Shultis Faw'!$A$2:$A$26,1))+($C703-INDEX('Shultis Faw'!$A$2:$A$26,MATCH($C703,'Shultis Faw'!$A$2:$A$26,1)))*(INDEX('Shultis Faw'!$C$2:$C$26,MATCH($C703,'Shultis Faw'!$A$2:$A$26,1)+1)-INDEX('Shultis Faw'!$C$2:$C$26,MATCH($C703,'Shultis Faw'!$A$2:$A$26,1)))/(INDEX('Shultis Faw'!$A$2:$A$26,MATCH($C703,'Shultis Faw'!$A$2:$A$26,1)+1)-INDEX('Shultis Faw'!$A$2:$A$26,MATCH($C703,'Shultis Faw'!$A$2:$A$26,1))),$C703*'Shultis Faw'!$C$2/'Shultis Faw'!$A$2)</f>
        <v>2.2394890000000003</v>
      </c>
      <c r="J703" s="83">
        <f>_xlfn.IFNA(INDEX('Shultis Faw'!$D$2:$D$26,MATCH($C703,'Shultis Faw'!$A$2:$A$26,1))+($C703-INDEX('Shultis Faw'!$A$2:$A$26,MATCH($C703,'Shultis Faw'!$A$2:$A$26,1)))*(INDEX('Shultis Faw'!$D$2:$D$26,MATCH($C703,'Shultis Faw'!$A$2:$A$26,1)+1)-INDEX('Shultis Faw'!$D$2:$D$26,MATCH($C703,'Shultis Faw'!$A$2:$A$26,1)))/(INDEX('Shultis Faw'!$A$2:$A$26,MATCH($C703,'Shultis Faw'!$A$2:$A$26,1)+1)-INDEX('Shultis Faw'!$A$2:$A$26,MATCH($C703,'Shultis Faw'!$A$2:$A$26,1))),$C703*'Shultis Faw'!$D$2/'Shultis Faw'!$A$2)</f>
        <v>1.5664910000000001</v>
      </c>
      <c r="K703" s="83">
        <f>_xlfn.IFNA(INDEX('Shultis Faw'!$B$2:$B$26,MATCH($C703,'Shultis Faw'!$A$2:$A$26,1))+($C703-INDEX('Shultis Faw'!$A$2:$A$26,MATCH($C703,'Shultis Faw'!$A$2:$A$26,1)))*(INDEX('Shultis Faw'!$B$2:$B$26,MATCH($C703,'Shultis Faw'!$A$2:$A$26,1)+1)-INDEX('Shultis Faw'!$B$2:$B$26,MATCH($C703,'Shultis Faw'!$A$2:$A$26,1)))/(INDEX('Shultis Faw'!$A$2:$A$26,MATCH($C703,'Shultis Faw'!$A$2:$A$26,1)+1)-INDEX('Shultis Faw'!$A$2:$A$26,MATCH($C703,'Shultis Faw'!$A$2:$A$26,1))),$C703*'Shultis Faw'!$B$2/'Shultis Faw'!$A$2)</f>
        <v>-0.10816540000000001</v>
      </c>
      <c r="L703" s="83">
        <f>_xlfn.IFNA(INDEX('Shultis Faw'!$E$2:$E$26,MATCH($C703,'Shultis Faw'!$A$2:$A$26,1))+($C703-INDEX('Shultis Faw'!$A$2:$A$26,MATCH($C703,'Shultis Faw'!$A$2:$A$26,1)))*(INDEX('Shultis Faw'!$E$2:$E$26,MATCH($C703,'Shultis Faw'!$A$2:$A$26,1)+1)-INDEX('Shultis Faw'!$E$2:$E$26,MATCH($C703,'Shultis Faw'!$A$2:$A$26,1)))/(INDEX('Shultis Faw'!$A$2:$A$26,MATCH($C703,'Shultis Faw'!$A$2:$A$26,1)+1)-INDEX('Shultis Faw'!$A$2:$A$26,MATCH($C703,'Shultis Faw'!$A$2:$A$26,1))),$C703*'Shultis Faw'!$E$2/'Shultis Faw'!$A$2)</f>
        <v>4.4799560000000009E-2</v>
      </c>
      <c r="M703" s="83">
        <f>_xlfn.IFNA(INDEX('Shultis Faw'!$F$2:$F$26,MATCH($C703,'Shultis Faw'!$A$2:$A$26,1))+($C703-INDEX('Shultis Faw'!$A$2:$A$26,MATCH($C703,'Shultis Faw'!$A$2:$A$26,1)))*(INDEX('Shultis Faw'!$F$2:$F$26,MATCH($C703,'Shultis Faw'!$A$2:$A$26,1)+1)-INDEX('Shultis Faw'!$F$2:$F$26,MATCH($C703,'Shultis Faw'!$A$2:$A$26,1)))/(INDEX('Shultis Faw'!$A$2:$A$26,MATCH($C703,'Shultis Faw'!$A$2:$A$26,1)+1)-INDEX('Shultis Faw'!$A$2:$A$26,MATCH($C703,'Shultis Faw'!$A$2:$A$26,1))),$C703*'Shultis Faw'!$F$2/'Shultis Faw'!$A$2)</f>
        <v>14.338341999999999</v>
      </c>
      <c r="N703" s="83">
        <f>J703*(H703*'Externe blootstelling'!$D$23/2)^K703+L703*(TANH(((H703*'Externe blootstelling'!$D$23)/(2*M703))-2)-TANH(-2))/(1-TANH(-2))</f>
        <v>1.5355788124414911</v>
      </c>
      <c r="O703" s="83">
        <f>IF(N703=1,1+(I703-1)*H703*'Externe blootstelling'!$D$23/2,1+(I703-1)*(N703^(H703*'Externe blootstelling'!$D$23/2)-1)/(N703-1))</f>
        <v>2.5634345059277308</v>
      </c>
      <c r="P703" s="67">
        <f>G703*EXP(-H703*'Externe blootstelling'!$D$23/2)*O703</f>
        <v>1.7143167497766794E-2</v>
      </c>
      <c r="Q703" s="68"/>
    </row>
    <row r="704" spans="1:17" x14ac:dyDescent="0.2">
      <c r="A704" s="217"/>
      <c r="B704" s="64" t="s">
        <v>104</v>
      </c>
      <c r="C704" s="66">
        <v>0.83198400000000006</v>
      </c>
      <c r="D704" s="66">
        <f t="shared" si="46"/>
        <v>1.3311744E-13</v>
      </c>
      <c r="E704" s="66">
        <v>3.5000000000000003E-2</v>
      </c>
      <c r="F704" s="66">
        <f>_xlfn.IFNA(INDEX('hp (pSv cm2)'!$B$2:$B$52,MATCH($C704,'hp (pSv cm2)'!$A$2:$A$52,1))+($C704-INDEX('hp (pSv cm2)'!$A$2:$A$52,MATCH($C704,'hp (pSv cm2)'!$A$2:$A$52,1)))*(INDEX('hp (pSv cm2)'!$B$2:$B$52,MATCH($C704,'hp (pSv cm2)'!$A$2:$A$52,1)+1)-INDEX('hp (pSv cm2)'!$B$2:$B$52,MATCH($C704,'hp (pSv cm2)'!$A$2:$A$52,1)))/(INDEX('hp (pSv cm2)'!$A$2:$A$52,MATCH($C704,'hp (pSv cm2)'!$A$2:$A$52,1)+1)-INDEX('hp (pSv cm2)'!$A$2:$A$52,MATCH($C704,'hp (pSv cm2)'!$A$2:$A$52,1))),$C704*'hp (pSv cm2)'!$B$2/'hp (pSv cm2)'!$A$2)</f>
        <v>3.8515391999999999</v>
      </c>
      <c r="G704" s="67">
        <f t="shared" si="47"/>
        <v>0.13480387200000002</v>
      </c>
      <c r="H704" s="83">
        <f>_xlfn.IFNA(0.997*(INDEX('Mass attenuation coefficients'!$B$2:$B$37,MATCH($C704,'Mass attenuation coefficients'!$A$2:$A$37,1))+($C704-INDEX('Mass attenuation coefficients'!$A$2:$A$37,MATCH($C704,'Mass attenuation coefficients'!$A$2:$A$37,1)))*(INDEX('Mass attenuation coefficients'!$B$2:$B$37,MATCH($C704,'Mass attenuation coefficients'!$A$2:$A$37,1)+1)-INDEX('Mass attenuation coefficients'!$B$2:$B$37,MATCH($C704,'Mass attenuation coefficients'!$A$2:$A$37,1)))/(INDEX('Mass attenuation coefficients'!$A$2:$A$37,MATCH($C704,'Mass attenuation coefficients'!$A$2:$A$37,1)+1)-INDEX('Mass attenuation coefficients'!$A$2:$A$37,MATCH($C704,'Mass attenuation coefficients'!$A$2:$A$37,1)))),0.997*$C704*'Mass attenuation coefficients'!$B$2/'Mass attenuation coefficients'!$A$2)</f>
        <v>7.7149688896800003E-2</v>
      </c>
      <c r="I704" s="83">
        <f>_xlfn.IFNA(INDEX('Shultis Faw'!$C$2:$C$26,MATCH($C704,'Shultis Faw'!$A$2:$A$26,1))+($C704-INDEX('Shultis Faw'!$A$2:$A$26,MATCH($C704,'Shultis Faw'!$A$2:$A$26,1)))*(INDEX('Shultis Faw'!$C$2:$C$26,MATCH($C704,'Shultis Faw'!$A$2:$A$26,1)+1)-INDEX('Shultis Faw'!$C$2:$C$26,MATCH($C704,'Shultis Faw'!$A$2:$A$26,1)))/(INDEX('Shultis Faw'!$A$2:$A$26,MATCH($C704,'Shultis Faw'!$A$2:$A$26,1)+1)-INDEX('Shultis Faw'!$A$2:$A$26,MATCH($C704,'Shultis Faw'!$A$2:$A$26,1))),$C704*'Shultis Faw'!$C$2/'Shultis Faw'!$A$2)</f>
        <v>2.1945687200000004</v>
      </c>
      <c r="J704" s="83">
        <f>_xlfn.IFNA(INDEX('Shultis Faw'!$D$2:$D$26,MATCH($C704,'Shultis Faw'!$A$2:$A$26,1))+($C704-INDEX('Shultis Faw'!$A$2:$A$26,MATCH($C704,'Shultis Faw'!$A$2:$A$26,1)))*(INDEX('Shultis Faw'!$D$2:$D$26,MATCH($C704,'Shultis Faw'!$A$2:$A$26,1)+1)-INDEX('Shultis Faw'!$D$2:$D$26,MATCH($C704,'Shultis Faw'!$A$2:$A$26,1)))/(INDEX('Shultis Faw'!$A$2:$A$26,MATCH($C704,'Shultis Faw'!$A$2:$A$26,1)+1)-INDEX('Shultis Faw'!$A$2:$A$26,MATCH($C704,'Shultis Faw'!$A$2:$A$26,1))),$C704*'Shultis Faw'!$D$2/'Shultis Faw'!$A$2)</f>
        <v>1.5275282400000001</v>
      </c>
      <c r="K704" s="83">
        <f>_xlfn.IFNA(INDEX('Shultis Faw'!$B$2:$B$26,MATCH($C704,'Shultis Faw'!$A$2:$A$26,1))+($C704-INDEX('Shultis Faw'!$A$2:$A$26,MATCH($C704,'Shultis Faw'!$A$2:$A$26,1)))*(INDEX('Shultis Faw'!$B$2:$B$26,MATCH($C704,'Shultis Faw'!$A$2:$A$26,1)+1)-INDEX('Shultis Faw'!$B$2:$B$26,MATCH($C704,'Shultis Faw'!$A$2:$A$26,1)))/(INDEX('Shultis Faw'!$A$2:$A$26,MATCH($C704,'Shultis Faw'!$A$2:$A$26,1)+1)-INDEX('Shultis Faw'!$A$2:$A$26,MATCH($C704,'Shultis Faw'!$A$2:$A$26,1))),$C704*'Shultis Faw'!$B$2/'Shultis Faw'!$A$2)</f>
        <v>-0.10244128</v>
      </c>
      <c r="L704" s="83">
        <f>_xlfn.IFNA(INDEX('Shultis Faw'!$E$2:$E$26,MATCH($C704,'Shultis Faw'!$A$2:$A$26,1))+($C704-INDEX('Shultis Faw'!$A$2:$A$26,MATCH($C704,'Shultis Faw'!$A$2:$A$26,1)))*(INDEX('Shultis Faw'!$E$2:$E$26,MATCH($C704,'Shultis Faw'!$A$2:$A$26,1)+1)-INDEX('Shultis Faw'!$E$2:$E$26,MATCH($C704,'Shultis Faw'!$A$2:$A$26,1)))/(INDEX('Shultis Faw'!$A$2:$A$26,MATCH($C704,'Shultis Faw'!$A$2:$A$26,1)+1)-INDEX('Shultis Faw'!$A$2:$A$26,MATCH($C704,'Shultis Faw'!$A$2:$A$26,1))),$C704*'Shultis Faw'!$E$2/'Shultis Faw'!$A$2)</f>
        <v>4.2756472000000004E-2</v>
      </c>
      <c r="M704" s="83">
        <f>_xlfn.IFNA(INDEX('Shultis Faw'!$F$2:$F$26,MATCH($C704,'Shultis Faw'!$A$2:$A$26,1))+($C704-INDEX('Shultis Faw'!$A$2:$A$26,MATCH($C704,'Shultis Faw'!$A$2:$A$26,1)))*(INDEX('Shultis Faw'!$F$2:$F$26,MATCH($C704,'Shultis Faw'!$A$2:$A$26,1)+1)-INDEX('Shultis Faw'!$F$2:$F$26,MATCH($C704,'Shultis Faw'!$A$2:$A$26,1)))/(INDEX('Shultis Faw'!$A$2:$A$26,MATCH($C704,'Shultis Faw'!$A$2:$A$26,1)+1)-INDEX('Shultis Faw'!$A$2:$A$26,MATCH($C704,'Shultis Faw'!$A$2:$A$26,1))),$C704*'Shultis Faw'!$F$2/'Shultis Faw'!$A$2)</f>
        <v>14.3376112</v>
      </c>
      <c r="N704" s="83">
        <f>J704*(H704*'Externe blootstelling'!$D$23/2)^K704+L704*(TANH(((H704*'Externe blootstelling'!$D$23)/(2*M704))-2)-TANH(-2))/(1-TANH(-2))</f>
        <v>1.5049796309909769</v>
      </c>
      <c r="O704" s="83">
        <f>IF(N704=1,1+(I704-1)*H704*'Externe blootstelling'!$D$23/2,1+(I704-1)*(N704^(H704*'Externe blootstelling'!$D$23/2)-1)/(N704-1))</f>
        <v>2.4309250968455411</v>
      </c>
      <c r="P704" s="67">
        <f>G704*EXP(-H704*'Externe blootstelling'!$D$23/2)*O704</f>
        <v>0.10301220453537495</v>
      </c>
      <c r="Q704" s="68"/>
    </row>
    <row r="705" spans="1:17" x14ac:dyDescent="0.2">
      <c r="A705" s="217"/>
      <c r="B705" s="64" t="s">
        <v>104</v>
      </c>
      <c r="C705" s="66">
        <v>0.86591999999999991</v>
      </c>
      <c r="D705" s="66">
        <f t="shared" si="46"/>
        <v>1.3854719999999997E-13</v>
      </c>
      <c r="E705" s="66">
        <v>4.6E-5</v>
      </c>
      <c r="F705" s="66">
        <f>_xlfn.IFNA(INDEX('hp (pSv cm2)'!$B$2:$B$52,MATCH($C705,'hp (pSv cm2)'!$A$2:$A$52,1))+($C705-INDEX('hp (pSv cm2)'!$A$2:$A$52,MATCH($C705,'hp (pSv cm2)'!$A$2:$A$52,1)))*(INDEX('hp (pSv cm2)'!$B$2:$B$52,MATCH($C705,'hp (pSv cm2)'!$A$2:$A$52,1)+1)-INDEX('hp (pSv cm2)'!$B$2:$B$52,MATCH($C705,'hp (pSv cm2)'!$A$2:$A$52,1)))/(INDEX('hp (pSv cm2)'!$A$2:$A$52,MATCH($C705,'hp (pSv cm2)'!$A$2:$A$52,1)+1)-INDEX('hp (pSv cm2)'!$A$2:$A$52,MATCH($C705,'hp (pSv cm2)'!$A$2:$A$52,1))),$C705*'hp (pSv cm2)'!$B$2/'hp (pSv cm2)'!$A$2)</f>
        <v>3.9804959999999996</v>
      </c>
      <c r="G705" s="67">
        <f t="shared" si="47"/>
        <v>1.8310281599999997E-4</v>
      </c>
      <c r="H705" s="83">
        <f>_xlfn.IFNA(0.997*(INDEX('Mass attenuation coefficients'!$B$2:$B$37,MATCH($C705,'Mass attenuation coefficients'!$A$2:$A$37,1))+($C705-INDEX('Mass attenuation coefficients'!$A$2:$A$37,MATCH($C705,'Mass attenuation coefficients'!$A$2:$A$37,1)))*(INDEX('Mass attenuation coefficients'!$B$2:$B$37,MATCH($C705,'Mass attenuation coefficients'!$A$2:$A$37,1)+1)-INDEX('Mass attenuation coefficients'!$B$2:$B$37,MATCH($C705,'Mass attenuation coefficients'!$A$2:$A$37,1)))/(INDEX('Mass attenuation coefficients'!$A$2:$A$37,MATCH($C705,'Mass attenuation coefficients'!$A$2:$A$37,1)+1)-INDEX('Mass attenuation coefficients'!$A$2:$A$37,MATCH($C705,'Mass attenuation coefficients'!$A$2:$A$37,1)))),0.997*$C705*'Mass attenuation coefficients'!$B$2/'Mass attenuation coefficients'!$A$2)</f>
        <v>7.5808163184000008E-2</v>
      </c>
      <c r="I705" s="83">
        <f>_xlfn.IFNA(INDEX('Shultis Faw'!$C$2:$C$26,MATCH($C705,'Shultis Faw'!$A$2:$A$26,1))+($C705-INDEX('Shultis Faw'!$A$2:$A$26,MATCH($C705,'Shultis Faw'!$A$2:$A$26,1)))*(INDEX('Shultis Faw'!$C$2:$C$26,MATCH($C705,'Shultis Faw'!$A$2:$A$26,1)+1)-INDEX('Shultis Faw'!$C$2:$C$26,MATCH($C705,'Shultis Faw'!$A$2:$A$26,1)))/(INDEX('Shultis Faw'!$A$2:$A$26,MATCH($C705,'Shultis Faw'!$A$2:$A$26,1)+1)-INDEX('Shultis Faw'!$A$2:$A$26,MATCH($C705,'Shultis Faw'!$A$2:$A$26,1))),$C705*'Shultis Faw'!$C$2/'Shultis Faw'!$A$2)</f>
        <v>2.1760736000000001</v>
      </c>
      <c r="J705" s="83">
        <f>_xlfn.IFNA(INDEX('Shultis Faw'!$D$2:$D$26,MATCH($C705,'Shultis Faw'!$A$2:$A$26,1))+($C705-INDEX('Shultis Faw'!$A$2:$A$26,MATCH($C705,'Shultis Faw'!$A$2:$A$26,1)))*(INDEX('Shultis Faw'!$D$2:$D$26,MATCH($C705,'Shultis Faw'!$A$2:$A$26,1)+1)-INDEX('Shultis Faw'!$D$2:$D$26,MATCH($C705,'Shultis Faw'!$A$2:$A$26,1)))/(INDEX('Shultis Faw'!$A$2:$A$26,MATCH($C705,'Shultis Faw'!$A$2:$A$26,1)+1)-INDEX('Shultis Faw'!$A$2:$A$26,MATCH($C705,'Shultis Faw'!$A$2:$A$26,1))),$C705*'Shultis Faw'!$D$2/'Shultis Faw'!$A$2)</f>
        <v>1.5100512000000001</v>
      </c>
      <c r="K705" s="83">
        <f>_xlfn.IFNA(INDEX('Shultis Faw'!$B$2:$B$26,MATCH($C705,'Shultis Faw'!$A$2:$A$26,1))+($C705-INDEX('Shultis Faw'!$A$2:$A$26,MATCH($C705,'Shultis Faw'!$A$2:$A$26,1)))*(INDEX('Shultis Faw'!$B$2:$B$26,MATCH($C705,'Shultis Faw'!$A$2:$A$26,1)+1)-INDEX('Shultis Faw'!$B$2:$B$26,MATCH($C705,'Shultis Faw'!$A$2:$A$26,1)))/(INDEX('Shultis Faw'!$A$2:$A$26,MATCH($C705,'Shultis Faw'!$A$2:$A$26,1)+1)-INDEX('Shultis Faw'!$A$2:$A$26,MATCH($C705,'Shultis Faw'!$A$2:$A$26,1))),$C705*'Shultis Faw'!$B$2/'Shultis Faw'!$A$2)</f>
        <v>-9.9726400000000007E-2</v>
      </c>
      <c r="L705" s="83">
        <f>_xlfn.IFNA(INDEX('Shultis Faw'!$E$2:$E$26,MATCH($C705,'Shultis Faw'!$A$2:$A$26,1))+($C705-INDEX('Shultis Faw'!$A$2:$A$26,MATCH($C705,'Shultis Faw'!$A$2:$A$26,1)))*(INDEX('Shultis Faw'!$E$2:$E$26,MATCH($C705,'Shultis Faw'!$A$2:$A$26,1)+1)-INDEX('Shultis Faw'!$E$2:$E$26,MATCH($C705,'Shultis Faw'!$A$2:$A$26,1)))/(INDEX('Shultis Faw'!$A$2:$A$26,MATCH($C705,'Shultis Faw'!$A$2:$A$26,1)+1)-INDEX('Shultis Faw'!$A$2:$A$26,MATCH($C705,'Shultis Faw'!$A$2:$A$26,1))),$C705*'Shultis Faw'!$E$2/'Shultis Faw'!$A$2)</f>
        <v>4.1755360000000005E-2</v>
      </c>
      <c r="M705" s="83">
        <f>_xlfn.IFNA(INDEX('Shultis Faw'!$F$2:$F$26,MATCH($C705,'Shultis Faw'!$A$2:$A$26,1))+($C705-INDEX('Shultis Faw'!$A$2:$A$26,MATCH($C705,'Shultis Faw'!$A$2:$A$26,1)))*(INDEX('Shultis Faw'!$F$2:$F$26,MATCH($C705,'Shultis Faw'!$A$2:$A$26,1)+1)-INDEX('Shultis Faw'!$F$2:$F$26,MATCH($C705,'Shultis Faw'!$A$2:$A$26,1)))/(INDEX('Shultis Faw'!$A$2:$A$26,MATCH($C705,'Shultis Faw'!$A$2:$A$26,1)+1)-INDEX('Shultis Faw'!$A$2:$A$26,MATCH($C705,'Shultis Faw'!$A$2:$A$26,1))),$C705*'Shultis Faw'!$F$2/'Shultis Faw'!$A$2)</f>
        <v>14.313855999999999</v>
      </c>
      <c r="N705" s="83">
        <f>J705*(H705*'Externe blootstelling'!$D$23/2)^K705+L705*(TANH(((H705*'Externe blootstelling'!$D$23)/(2*M705))-2)-TANH(-2))/(1-TANH(-2))</f>
        <v>1.4909523881917994</v>
      </c>
      <c r="O705" s="83">
        <f>IF(N705=1,1+(I705-1)*H705*'Externe blootstelling'!$D$23/2,1+(I705-1)*(N705^(H705*'Externe blootstelling'!$D$23/2)-1)/(N705-1))</f>
        <v>2.3771398165389965</v>
      </c>
      <c r="P705" s="67">
        <f>G705*EXP(-H705*'Externe blootstelling'!$D$23/2)*O705</f>
        <v>1.3960589128404749E-4</v>
      </c>
      <c r="Q705" s="68"/>
    </row>
    <row r="706" spans="1:17" x14ac:dyDescent="0.2">
      <c r="A706" s="217"/>
      <c r="B706" s="64" t="s">
        <v>104</v>
      </c>
      <c r="C706" s="66">
        <v>1.0143800000000001</v>
      </c>
      <c r="D706" s="66">
        <f t="shared" si="46"/>
        <v>1.6230080000000001E-13</v>
      </c>
      <c r="E706" s="66">
        <v>1.73E-4</v>
      </c>
      <c r="F706" s="66">
        <f>_xlfn.IFNA(INDEX('hp (pSv cm2)'!$B$2:$B$52,MATCH($C706,'hp (pSv cm2)'!$A$2:$A$52,1))+($C706-INDEX('hp (pSv cm2)'!$A$2:$A$52,MATCH($C706,'hp (pSv cm2)'!$A$2:$A$52,1)))*(INDEX('hp (pSv cm2)'!$B$2:$B$52,MATCH($C706,'hp (pSv cm2)'!$A$2:$A$52,1)+1)-INDEX('hp (pSv cm2)'!$B$2:$B$52,MATCH($C706,'hp (pSv cm2)'!$A$2:$A$52,1)))/(INDEX('hp (pSv cm2)'!$A$2:$A$52,MATCH($C706,'hp (pSv cm2)'!$A$2:$A$52,1)+1)-INDEX('hp (pSv cm2)'!$A$2:$A$52,MATCH($C706,'hp (pSv cm2)'!$A$2:$A$52,1))),$C706*'hp (pSv cm2)'!$B$2/'hp (pSv cm2)'!$A$2)</f>
        <v>4.5368788000000002</v>
      </c>
      <c r="G706" s="67">
        <f t="shared" si="47"/>
        <v>7.8488003240000006E-4</v>
      </c>
      <c r="H706" s="83">
        <f>_xlfn.IFNA(0.997*(INDEX('Mass attenuation coefficients'!$B$2:$B$37,MATCH($C706,'Mass attenuation coefficients'!$A$2:$A$37,1))+($C706-INDEX('Mass attenuation coefficients'!$A$2:$A$37,MATCH($C706,'Mass attenuation coefficients'!$A$2:$A$37,1)))*(INDEX('Mass attenuation coefficients'!$B$2:$B$37,MATCH($C706,'Mass attenuation coefficients'!$A$2:$A$37,1)+1)-INDEX('Mass attenuation coefficients'!$B$2:$B$37,MATCH($C706,'Mass attenuation coefficients'!$A$2:$A$37,1)))/(INDEX('Mass attenuation coefficients'!$A$2:$A$37,MATCH($C706,'Mass attenuation coefficients'!$A$2:$A$37,1)+1)-INDEX('Mass attenuation coefficients'!$A$2:$A$37,MATCH($C706,'Mass attenuation coefficients'!$A$2:$A$37,1)))),0.997*$C706*'Mass attenuation coefficients'!$B$2/'Mass attenuation coefficients'!$A$2)</f>
        <v>7.0078307674400001E-2</v>
      </c>
      <c r="I706" s="83">
        <f>_xlfn.IFNA(INDEX('Shultis Faw'!$C$2:$C$26,MATCH($C706,'Shultis Faw'!$A$2:$A$26,1))+($C706-INDEX('Shultis Faw'!$A$2:$A$26,MATCH($C706,'Shultis Faw'!$A$2:$A$26,1)))*(INDEX('Shultis Faw'!$C$2:$C$26,MATCH($C706,'Shultis Faw'!$A$2:$A$26,1)+1)-INDEX('Shultis Faw'!$C$2:$C$26,MATCH($C706,'Shultis Faw'!$A$2:$A$26,1)))/(INDEX('Shultis Faw'!$A$2:$A$26,MATCH($C706,'Shultis Faw'!$A$2:$A$26,1)+1)-INDEX('Shultis Faw'!$A$2:$A$26,MATCH($C706,'Shultis Faw'!$A$2:$A$26,1))),$C706*'Shultis Faw'!$C$2/'Shultis Faw'!$A$2)</f>
        <v>2.0982833600000004</v>
      </c>
      <c r="J706" s="83">
        <f>_xlfn.IFNA(INDEX('Shultis Faw'!$D$2:$D$26,MATCH($C706,'Shultis Faw'!$A$2:$A$26,1))+($C706-INDEX('Shultis Faw'!$A$2:$A$26,MATCH($C706,'Shultis Faw'!$A$2:$A$26,1)))*(INDEX('Shultis Faw'!$D$2:$D$26,MATCH($C706,'Shultis Faw'!$A$2:$A$26,1)+1)-INDEX('Shultis Faw'!$D$2:$D$26,MATCH($C706,'Shultis Faw'!$A$2:$A$26,1)))/(INDEX('Shultis Faw'!$A$2:$A$26,MATCH($C706,'Shultis Faw'!$A$2:$A$26,1)+1)-INDEX('Shultis Faw'!$A$2:$A$26,MATCH($C706,'Shultis Faw'!$A$2:$A$26,1))),$C706*'Shultis Faw'!$D$2/'Shultis Faw'!$A$2)</f>
        <v>1.4360532800000001</v>
      </c>
      <c r="K706" s="83">
        <f>_xlfn.IFNA(INDEX('Shultis Faw'!$B$2:$B$26,MATCH($C706,'Shultis Faw'!$A$2:$A$26,1))+($C706-INDEX('Shultis Faw'!$A$2:$A$26,MATCH($C706,'Shultis Faw'!$A$2:$A$26,1)))*(INDEX('Shultis Faw'!$B$2:$B$26,MATCH($C706,'Shultis Faw'!$A$2:$A$26,1)+1)-INDEX('Shultis Faw'!$B$2:$B$26,MATCH($C706,'Shultis Faw'!$A$2:$A$26,1)))/(INDEX('Shultis Faw'!$A$2:$A$26,MATCH($C706,'Shultis Faw'!$A$2:$A$26,1)+1)-INDEX('Shultis Faw'!$A$2:$A$26,MATCH($C706,'Shultis Faw'!$A$2:$A$26,1))),$C706*'Shultis Faw'!$B$2/'Shultis Faw'!$A$2)</f>
        <v>-8.8108439999999996E-2</v>
      </c>
      <c r="L706" s="83">
        <f>_xlfn.IFNA(INDEX('Shultis Faw'!$E$2:$E$26,MATCH($C706,'Shultis Faw'!$A$2:$A$26,1))+($C706-INDEX('Shultis Faw'!$A$2:$A$26,MATCH($C706,'Shultis Faw'!$A$2:$A$26,1)))*(INDEX('Shultis Faw'!$E$2:$E$26,MATCH($C706,'Shultis Faw'!$A$2:$A$26,1)+1)-INDEX('Shultis Faw'!$E$2:$E$26,MATCH($C706,'Shultis Faw'!$A$2:$A$26,1)))/(INDEX('Shultis Faw'!$A$2:$A$26,MATCH($C706,'Shultis Faw'!$A$2:$A$26,1)+1)-INDEX('Shultis Faw'!$A$2:$A$26,MATCH($C706,'Shultis Faw'!$A$2:$A$26,1))),$C706*'Shultis Faw'!$E$2/'Shultis Faw'!$A$2)</f>
        <v>3.7420367999999996E-2</v>
      </c>
      <c r="M706" s="83">
        <f>_xlfn.IFNA(INDEX('Shultis Faw'!$F$2:$F$26,MATCH($C706,'Shultis Faw'!$A$2:$A$26,1))+($C706-INDEX('Shultis Faw'!$A$2:$A$26,MATCH($C706,'Shultis Faw'!$A$2:$A$26,1)))*(INDEX('Shultis Faw'!$F$2:$F$26,MATCH($C706,'Shultis Faw'!$A$2:$A$26,1)+1)-INDEX('Shultis Faw'!$F$2:$F$26,MATCH($C706,'Shultis Faw'!$A$2:$A$26,1)))/(INDEX('Shultis Faw'!$A$2:$A$26,MATCH($C706,'Shultis Faw'!$A$2:$A$26,1)+1)-INDEX('Shultis Faw'!$A$2:$A$26,MATCH($C706,'Shultis Faw'!$A$2:$A$26,1))),$C706*'Shultis Faw'!$F$2/'Shultis Faw'!$A$2)</f>
        <v>14.228628</v>
      </c>
      <c r="N706" s="83">
        <f>J706*(H706*'Externe blootstelling'!$D$23/2)^K706+L706*(TANH(((H706*'Externe blootstelling'!$D$23)/(2*M706))-2)-TANH(-2))/(1-TANH(-2))</f>
        <v>1.4298591988361129</v>
      </c>
      <c r="O706" s="83">
        <f>IF(N706=1,1+(I706-1)*H706*'Externe blootstelling'!$D$23/2,1+(I706-1)*(N706^(H706*'Externe blootstelling'!$D$23/2)-1)/(N706-1))</f>
        <v>2.165749205511398</v>
      </c>
      <c r="P706" s="67">
        <f>G706*EXP(-H706*'Externe blootstelling'!$D$23/2)*O706</f>
        <v>5.9414453873441364E-4</v>
      </c>
      <c r="Q706" s="68"/>
    </row>
    <row r="707" spans="1:17" x14ac:dyDescent="0.2">
      <c r="A707" s="217"/>
      <c r="B707" s="64" t="s">
        <v>104</v>
      </c>
      <c r="C707" s="66">
        <v>1.08064</v>
      </c>
      <c r="D707" s="66">
        <f t="shared" si="46"/>
        <v>1.729024E-13</v>
      </c>
      <c r="E707" s="66">
        <v>1.21E-4</v>
      </c>
      <c r="F707" s="66">
        <f>_xlfn.IFNA(INDEX('hp (pSv cm2)'!$B$2:$B$52,MATCH($C707,'hp (pSv cm2)'!$A$2:$A$52,1))+($C707-INDEX('hp (pSv cm2)'!$A$2:$A$52,MATCH($C707,'hp (pSv cm2)'!$A$2:$A$52,1)))*(INDEX('hp (pSv cm2)'!$B$2:$B$52,MATCH($C707,'hp (pSv cm2)'!$A$2:$A$52,1)+1)-INDEX('hp (pSv cm2)'!$B$2:$B$52,MATCH($C707,'hp (pSv cm2)'!$A$2:$A$52,1)))/(INDEX('hp (pSv cm2)'!$A$2:$A$52,MATCH($C707,'hp (pSv cm2)'!$A$2:$A$52,1)+1)-INDEX('hp (pSv cm2)'!$A$2:$A$52,MATCH($C707,'hp (pSv cm2)'!$A$2:$A$52,1))),$C707*'hp (pSv cm2)'!$B$2/'hp (pSv cm2)'!$A$2)</f>
        <v>4.7528864000000004</v>
      </c>
      <c r="G707" s="67">
        <f t="shared" si="47"/>
        <v>5.7509925440000001E-4</v>
      </c>
      <c r="H707" s="83">
        <f>_xlfn.IFNA(0.997*(INDEX('Mass attenuation coefficients'!$B$2:$B$37,MATCH($C707,'Mass attenuation coefficients'!$A$2:$A$37,1))+($C707-INDEX('Mass attenuation coefficients'!$A$2:$A$37,MATCH($C707,'Mass attenuation coefficients'!$A$2:$A$37,1)))*(INDEX('Mass attenuation coefficients'!$B$2:$B$37,MATCH($C707,'Mass attenuation coefficients'!$A$2:$A$37,1)+1)-INDEX('Mass attenuation coefficients'!$B$2:$B$37,MATCH($C707,'Mass attenuation coefficients'!$A$2:$A$37,1)))/(INDEX('Mass attenuation coefficients'!$A$2:$A$37,MATCH($C707,'Mass attenuation coefficients'!$A$2:$A$37,1)+1)-INDEX('Mass attenuation coefficients'!$A$2:$A$37,MATCH($C707,'Mass attenuation coefficients'!$A$2:$A$37,1)))),0.997*$C707*'Mass attenuation coefficients'!$B$2/'Mass attenuation coefficients'!$A$2)</f>
        <v>6.80991135232E-2</v>
      </c>
      <c r="I707" s="83">
        <f>_xlfn.IFNA(INDEX('Shultis Faw'!$C$2:$C$26,MATCH($C707,'Shultis Faw'!$A$2:$A$26,1))+($C707-INDEX('Shultis Faw'!$A$2:$A$26,MATCH($C707,'Shultis Faw'!$A$2:$A$26,1)))*(INDEX('Shultis Faw'!$C$2:$C$26,MATCH($C707,'Shultis Faw'!$A$2:$A$26,1)+1)-INDEX('Shultis Faw'!$C$2:$C$26,MATCH($C707,'Shultis Faw'!$A$2:$A$26,1)))/(INDEX('Shultis Faw'!$A$2:$A$26,MATCH($C707,'Shultis Faw'!$A$2:$A$26,1)+1)-INDEX('Shultis Faw'!$A$2:$A$26,MATCH($C707,'Shultis Faw'!$A$2:$A$26,1))),$C707*'Shultis Faw'!$C$2/'Shultis Faw'!$A$2)</f>
        <v>2.0765500800000001</v>
      </c>
      <c r="J707" s="83">
        <f>_xlfn.IFNA(INDEX('Shultis Faw'!$D$2:$D$26,MATCH($C707,'Shultis Faw'!$A$2:$A$26,1))+($C707-INDEX('Shultis Faw'!$A$2:$A$26,MATCH($C707,'Shultis Faw'!$A$2:$A$26,1)))*(INDEX('Shultis Faw'!$D$2:$D$26,MATCH($C707,'Shultis Faw'!$A$2:$A$26,1)+1)-INDEX('Shultis Faw'!$D$2:$D$26,MATCH($C707,'Shultis Faw'!$A$2:$A$26,1)))/(INDEX('Shultis Faw'!$A$2:$A$26,MATCH($C707,'Shultis Faw'!$A$2:$A$26,1)+1)-INDEX('Shultis Faw'!$A$2:$A$26,MATCH($C707,'Shultis Faw'!$A$2:$A$26,1))),$C707*'Shultis Faw'!$D$2/'Shultis Faw'!$A$2)</f>
        <v>1.41325984</v>
      </c>
      <c r="K707" s="83">
        <f>_xlfn.IFNA(INDEX('Shultis Faw'!$B$2:$B$26,MATCH($C707,'Shultis Faw'!$A$2:$A$26,1))+($C707-INDEX('Shultis Faw'!$A$2:$A$26,MATCH($C707,'Shultis Faw'!$A$2:$A$26,1)))*(INDEX('Shultis Faw'!$B$2:$B$26,MATCH($C707,'Shultis Faw'!$A$2:$A$26,1)+1)-INDEX('Shultis Faw'!$B$2:$B$26,MATCH($C707,'Shultis Faw'!$A$2:$A$26,1)))/(INDEX('Shultis Faw'!$A$2:$A$26,MATCH($C707,'Shultis Faw'!$A$2:$A$26,1)+1)-INDEX('Shultis Faw'!$A$2:$A$26,MATCH($C707,'Shultis Faw'!$A$2:$A$26,1))),$C707*'Shultis Faw'!$B$2/'Shultis Faw'!$A$2)</f>
        <v>-8.4000319999999989E-2</v>
      </c>
      <c r="L707" s="83">
        <f>_xlfn.IFNA(INDEX('Shultis Faw'!$E$2:$E$26,MATCH($C707,'Shultis Faw'!$A$2:$A$26,1))+($C707-INDEX('Shultis Faw'!$A$2:$A$26,MATCH($C707,'Shultis Faw'!$A$2:$A$26,1)))*(INDEX('Shultis Faw'!$E$2:$E$26,MATCH($C707,'Shultis Faw'!$A$2:$A$26,1)+1)-INDEX('Shultis Faw'!$E$2:$E$26,MATCH($C707,'Shultis Faw'!$A$2:$A$26,1)))/(INDEX('Shultis Faw'!$A$2:$A$26,MATCH($C707,'Shultis Faw'!$A$2:$A$26,1)+1)-INDEX('Shultis Faw'!$A$2:$A$26,MATCH($C707,'Shultis Faw'!$A$2:$A$26,1))),$C707*'Shultis Faw'!$E$2/'Shultis Faw'!$A$2)</f>
        <v>3.5671104000000002E-2</v>
      </c>
      <c r="M707" s="83">
        <f>_xlfn.IFNA(INDEX('Shultis Faw'!$F$2:$F$26,MATCH($C707,'Shultis Faw'!$A$2:$A$26,1))+($C707-INDEX('Shultis Faw'!$A$2:$A$26,MATCH($C707,'Shultis Faw'!$A$2:$A$26,1)))*(INDEX('Shultis Faw'!$F$2:$F$26,MATCH($C707,'Shultis Faw'!$A$2:$A$26,1)+1)-INDEX('Shultis Faw'!$F$2:$F$26,MATCH($C707,'Shultis Faw'!$A$2:$A$26,1)))/(INDEX('Shultis Faw'!$A$2:$A$26,MATCH($C707,'Shultis Faw'!$A$2:$A$26,1)+1)-INDEX('Shultis Faw'!$A$2:$A$26,MATCH($C707,'Shultis Faw'!$A$2:$A$26,1))),$C707*'Shultis Faw'!$F$2/'Shultis Faw'!$A$2)</f>
        <v>14.268384000000001</v>
      </c>
      <c r="N707" s="83">
        <f>J707*(H707*'Externe blootstelling'!$D$23/2)^K707+L707*(TANH(((H707*'Externe blootstelling'!$D$23)/(2*M707))-2)-TANH(-2))/(1-TANH(-2))</f>
        <v>1.4108368243343052</v>
      </c>
      <c r="O707" s="83">
        <f>IF(N707=1,1+(I707-1)*H707*'Externe blootstelling'!$D$23/2,1+(I707-1)*(N707^(H707*'Externe blootstelling'!$D$23/2)-1)/(N707-1))</f>
        <v>2.1039915739791226</v>
      </c>
      <c r="P707" s="67">
        <f>G707*EXP(-H707*'Externe blootstelling'!$D$23/2)*O707</f>
        <v>4.3567311656303237E-4</v>
      </c>
      <c r="Q707" s="68"/>
    </row>
    <row r="708" spans="1:17" x14ac:dyDescent="0.2">
      <c r="A708" s="217"/>
      <c r="B708" s="64" t="s">
        <v>104</v>
      </c>
      <c r="C708" s="66">
        <v>1.1035200000000001</v>
      </c>
      <c r="D708" s="66">
        <f t="shared" si="46"/>
        <v>1.7656319999999999E-13</v>
      </c>
      <c r="E708" s="66">
        <v>4.7000000000000004E-5</v>
      </c>
      <c r="F708" s="66">
        <f>_xlfn.IFNA(INDEX('hp (pSv cm2)'!$B$2:$B$52,MATCH($C708,'hp (pSv cm2)'!$A$2:$A$52,1))+($C708-INDEX('hp (pSv cm2)'!$A$2:$A$52,MATCH($C708,'hp (pSv cm2)'!$A$2:$A$52,1)))*(INDEX('hp (pSv cm2)'!$B$2:$B$52,MATCH($C708,'hp (pSv cm2)'!$A$2:$A$52,1)+1)-INDEX('hp (pSv cm2)'!$B$2:$B$52,MATCH($C708,'hp (pSv cm2)'!$A$2:$A$52,1)))/(INDEX('hp (pSv cm2)'!$A$2:$A$52,MATCH($C708,'hp (pSv cm2)'!$A$2:$A$52,1)+1)-INDEX('hp (pSv cm2)'!$A$2:$A$52,MATCH($C708,'hp (pSv cm2)'!$A$2:$A$52,1))),$C708*'hp (pSv cm2)'!$B$2/'hp (pSv cm2)'!$A$2)</f>
        <v>4.8274752000000003</v>
      </c>
      <c r="G708" s="67">
        <f t="shared" si="47"/>
        <v>2.2689133440000002E-4</v>
      </c>
      <c r="H708" s="83">
        <f>_xlfn.IFNA(0.997*(INDEX('Mass attenuation coefficients'!$B$2:$B$37,MATCH($C708,'Mass attenuation coefficients'!$A$2:$A$37,1))+($C708-INDEX('Mass attenuation coefficients'!$A$2:$A$37,MATCH($C708,'Mass attenuation coefficients'!$A$2:$A$37,1)))*(INDEX('Mass attenuation coefficients'!$B$2:$B$37,MATCH($C708,'Mass attenuation coefficients'!$A$2:$A$37,1)+1)-INDEX('Mass attenuation coefficients'!$B$2:$B$37,MATCH($C708,'Mass attenuation coefficients'!$A$2:$A$37,1)))/(INDEX('Mass attenuation coefficients'!$A$2:$A$37,MATCH($C708,'Mass attenuation coefficients'!$A$2:$A$37,1)+1)-INDEX('Mass attenuation coefficients'!$A$2:$A$37,MATCH($C708,'Mass attenuation coefficients'!$A$2:$A$37,1)))),0.997*$C708*'Mass attenuation coefficients'!$B$2/'Mass attenuation coefficients'!$A$2)</f>
        <v>6.7415685177600007E-2</v>
      </c>
      <c r="I708" s="83">
        <f>_xlfn.IFNA(INDEX('Shultis Faw'!$C$2:$C$26,MATCH($C708,'Shultis Faw'!$A$2:$A$26,1))+($C708-INDEX('Shultis Faw'!$A$2:$A$26,MATCH($C708,'Shultis Faw'!$A$2:$A$26,1)))*(INDEX('Shultis Faw'!$C$2:$C$26,MATCH($C708,'Shultis Faw'!$A$2:$A$26,1)+1)-INDEX('Shultis Faw'!$C$2:$C$26,MATCH($C708,'Shultis Faw'!$A$2:$A$26,1)))/(INDEX('Shultis Faw'!$A$2:$A$26,MATCH($C708,'Shultis Faw'!$A$2:$A$26,1)+1)-INDEX('Shultis Faw'!$A$2:$A$26,MATCH($C708,'Shultis Faw'!$A$2:$A$26,1))),$C708*'Shultis Faw'!$C$2/'Shultis Faw'!$A$2)</f>
        <v>2.06904544</v>
      </c>
      <c r="J708" s="83">
        <f>_xlfn.IFNA(INDEX('Shultis Faw'!$D$2:$D$26,MATCH($C708,'Shultis Faw'!$A$2:$A$26,1))+($C708-INDEX('Shultis Faw'!$A$2:$A$26,MATCH($C708,'Shultis Faw'!$A$2:$A$26,1)))*(INDEX('Shultis Faw'!$D$2:$D$26,MATCH($C708,'Shultis Faw'!$A$2:$A$26,1)+1)-INDEX('Shultis Faw'!$D$2:$D$26,MATCH($C708,'Shultis Faw'!$A$2:$A$26,1)))/(INDEX('Shultis Faw'!$A$2:$A$26,MATCH($C708,'Shultis Faw'!$A$2:$A$26,1)+1)-INDEX('Shultis Faw'!$A$2:$A$26,MATCH($C708,'Shultis Faw'!$A$2:$A$26,1))),$C708*'Shultis Faw'!$D$2/'Shultis Faw'!$A$2)</f>
        <v>1.4053891199999999</v>
      </c>
      <c r="K708" s="83">
        <f>_xlfn.IFNA(INDEX('Shultis Faw'!$B$2:$B$26,MATCH($C708,'Shultis Faw'!$A$2:$A$26,1))+($C708-INDEX('Shultis Faw'!$A$2:$A$26,MATCH($C708,'Shultis Faw'!$A$2:$A$26,1)))*(INDEX('Shultis Faw'!$B$2:$B$26,MATCH($C708,'Shultis Faw'!$A$2:$A$26,1)+1)-INDEX('Shultis Faw'!$B$2:$B$26,MATCH($C708,'Shultis Faw'!$A$2:$A$26,1)))/(INDEX('Shultis Faw'!$A$2:$A$26,MATCH($C708,'Shultis Faw'!$A$2:$A$26,1)+1)-INDEX('Shultis Faw'!$A$2:$A$26,MATCH($C708,'Shultis Faw'!$A$2:$A$26,1))),$C708*'Shultis Faw'!$B$2/'Shultis Faw'!$A$2)</f>
        <v>-8.258175999999999E-2</v>
      </c>
      <c r="L708" s="83">
        <f>_xlfn.IFNA(INDEX('Shultis Faw'!$E$2:$E$26,MATCH($C708,'Shultis Faw'!$A$2:$A$26,1))+($C708-INDEX('Shultis Faw'!$A$2:$A$26,MATCH($C708,'Shultis Faw'!$A$2:$A$26,1)))*(INDEX('Shultis Faw'!$E$2:$E$26,MATCH($C708,'Shultis Faw'!$A$2:$A$26,1)+1)-INDEX('Shultis Faw'!$E$2:$E$26,MATCH($C708,'Shultis Faw'!$A$2:$A$26,1)))/(INDEX('Shultis Faw'!$A$2:$A$26,MATCH($C708,'Shultis Faw'!$A$2:$A$26,1)+1)-INDEX('Shultis Faw'!$A$2:$A$26,MATCH($C708,'Shultis Faw'!$A$2:$A$26,1))),$C708*'Shultis Faw'!$E$2/'Shultis Faw'!$A$2)</f>
        <v>3.5067071999999998E-2</v>
      </c>
      <c r="M708" s="83">
        <f>_xlfn.IFNA(INDEX('Shultis Faw'!$F$2:$F$26,MATCH($C708,'Shultis Faw'!$A$2:$A$26,1))+($C708-INDEX('Shultis Faw'!$A$2:$A$26,MATCH($C708,'Shultis Faw'!$A$2:$A$26,1)))*(INDEX('Shultis Faw'!$F$2:$F$26,MATCH($C708,'Shultis Faw'!$A$2:$A$26,1)+1)-INDEX('Shultis Faw'!$F$2:$F$26,MATCH($C708,'Shultis Faw'!$A$2:$A$26,1)))/(INDEX('Shultis Faw'!$A$2:$A$26,MATCH($C708,'Shultis Faw'!$A$2:$A$26,1)+1)-INDEX('Shultis Faw'!$A$2:$A$26,MATCH($C708,'Shultis Faw'!$A$2:$A$26,1))),$C708*'Shultis Faw'!$F$2/'Shultis Faw'!$A$2)</f>
        <v>14.282112</v>
      </c>
      <c r="N708" s="83">
        <f>J708*(H708*'Externe blootstelling'!$D$23/2)^K708+L708*(TANH(((H708*'Externe blootstelling'!$D$23)/(2*M708))-2)-TANH(-2))/(1-TANH(-2))</f>
        <v>1.4041887154536574</v>
      </c>
      <c r="O708" s="83">
        <f>IF(N708=1,1+(I708-1)*H708*'Externe blootstelling'!$D$23/2,1+(I708-1)*(N708^(H708*'Externe blootstelling'!$D$23/2)-1)/(N708-1))</f>
        <v>2.0832372553137963</v>
      </c>
      <c r="P708" s="67">
        <f>G708*EXP(-H708*'Externe blootstelling'!$D$23/2)*O708</f>
        <v>1.719423040011004E-4</v>
      </c>
      <c r="Q708" s="68"/>
    </row>
    <row r="709" spans="1:17" x14ac:dyDescent="0.2">
      <c r="A709" s="217"/>
      <c r="B709" s="64" t="s">
        <v>104</v>
      </c>
      <c r="C709" s="66">
        <v>1.1095090000000001</v>
      </c>
      <c r="D709" s="66">
        <f t="shared" si="46"/>
        <v>1.7752143999999998E-13</v>
      </c>
      <c r="E709" s="66">
        <v>1.16E-3</v>
      </c>
      <c r="F709" s="66">
        <f>_xlfn.IFNA(INDEX('hp (pSv cm2)'!$B$2:$B$52,MATCH($C709,'hp (pSv cm2)'!$A$2:$A$52,1))+($C709-INDEX('hp (pSv cm2)'!$A$2:$A$52,MATCH($C709,'hp (pSv cm2)'!$A$2:$A$52,1)))*(INDEX('hp (pSv cm2)'!$B$2:$B$52,MATCH($C709,'hp (pSv cm2)'!$A$2:$A$52,1)+1)-INDEX('hp (pSv cm2)'!$B$2:$B$52,MATCH($C709,'hp (pSv cm2)'!$A$2:$A$52,1)))/(INDEX('hp (pSv cm2)'!$A$2:$A$52,MATCH($C709,'hp (pSv cm2)'!$A$2:$A$52,1)+1)-INDEX('hp (pSv cm2)'!$A$2:$A$52,MATCH($C709,'hp (pSv cm2)'!$A$2:$A$52,1))),$C709*'hp (pSv cm2)'!$B$2/'hp (pSv cm2)'!$A$2)</f>
        <v>4.84699934</v>
      </c>
      <c r="G709" s="67">
        <f t="shared" si="47"/>
        <v>5.6225192343999997E-3</v>
      </c>
      <c r="H709" s="83">
        <f>_xlfn.IFNA(0.997*(INDEX('Mass attenuation coefficients'!$B$2:$B$37,MATCH($C709,'Mass attenuation coefficients'!$A$2:$A$37,1))+($C709-INDEX('Mass attenuation coefficients'!$A$2:$A$37,MATCH($C709,'Mass attenuation coefficients'!$A$2:$A$37,1)))*(INDEX('Mass attenuation coefficients'!$B$2:$B$37,MATCH($C709,'Mass attenuation coefficients'!$A$2:$A$37,1)+1)-INDEX('Mass attenuation coefficients'!$B$2:$B$37,MATCH($C709,'Mass attenuation coefficients'!$A$2:$A$37,1)))/(INDEX('Mass attenuation coefficients'!$A$2:$A$37,MATCH($C709,'Mass attenuation coefficients'!$A$2:$A$37,1)+1)-INDEX('Mass attenuation coefficients'!$A$2:$A$37,MATCH($C709,'Mass attenuation coefficients'!$A$2:$A$37,1)))),0.997*$C709*'Mass attenuation coefficients'!$B$2/'Mass attenuation coefficients'!$A$2)</f>
        <v>6.7236793028919994E-2</v>
      </c>
      <c r="I709" s="83">
        <f>_xlfn.IFNA(INDEX('Shultis Faw'!$C$2:$C$26,MATCH($C709,'Shultis Faw'!$A$2:$A$26,1))+($C709-INDEX('Shultis Faw'!$A$2:$A$26,MATCH($C709,'Shultis Faw'!$A$2:$A$26,1)))*(INDEX('Shultis Faw'!$C$2:$C$26,MATCH($C709,'Shultis Faw'!$A$2:$A$26,1)+1)-INDEX('Shultis Faw'!$C$2:$C$26,MATCH($C709,'Shultis Faw'!$A$2:$A$26,1)))/(INDEX('Shultis Faw'!$A$2:$A$26,MATCH($C709,'Shultis Faw'!$A$2:$A$26,1)+1)-INDEX('Shultis Faw'!$A$2:$A$26,MATCH($C709,'Shultis Faw'!$A$2:$A$26,1))),$C709*'Shultis Faw'!$C$2/'Shultis Faw'!$A$2)</f>
        <v>2.0670810480000004</v>
      </c>
      <c r="J709" s="83">
        <f>_xlfn.IFNA(INDEX('Shultis Faw'!$D$2:$D$26,MATCH($C709,'Shultis Faw'!$A$2:$A$26,1))+($C709-INDEX('Shultis Faw'!$A$2:$A$26,MATCH($C709,'Shultis Faw'!$A$2:$A$26,1)))*(INDEX('Shultis Faw'!$D$2:$D$26,MATCH($C709,'Shultis Faw'!$A$2:$A$26,1)+1)-INDEX('Shultis Faw'!$D$2:$D$26,MATCH($C709,'Shultis Faw'!$A$2:$A$26,1)))/(INDEX('Shultis Faw'!$A$2:$A$26,MATCH($C709,'Shultis Faw'!$A$2:$A$26,1)+1)-INDEX('Shultis Faw'!$A$2:$A$26,MATCH($C709,'Shultis Faw'!$A$2:$A$26,1))),$C709*'Shultis Faw'!$D$2/'Shultis Faw'!$A$2)</f>
        <v>1.4033289040000001</v>
      </c>
      <c r="K709" s="83">
        <f>_xlfn.IFNA(INDEX('Shultis Faw'!$B$2:$B$26,MATCH($C709,'Shultis Faw'!$A$2:$A$26,1))+($C709-INDEX('Shultis Faw'!$A$2:$A$26,MATCH($C709,'Shultis Faw'!$A$2:$A$26,1)))*(INDEX('Shultis Faw'!$B$2:$B$26,MATCH($C709,'Shultis Faw'!$A$2:$A$26,1)+1)-INDEX('Shultis Faw'!$B$2:$B$26,MATCH($C709,'Shultis Faw'!$A$2:$A$26,1)))/(INDEX('Shultis Faw'!$A$2:$A$26,MATCH($C709,'Shultis Faw'!$A$2:$A$26,1)+1)-INDEX('Shultis Faw'!$A$2:$A$26,MATCH($C709,'Shultis Faw'!$A$2:$A$26,1))),$C709*'Shultis Faw'!$B$2/'Shultis Faw'!$A$2)</f>
        <v>-8.2210441999999995E-2</v>
      </c>
      <c r="L709" s="83">
        <f>_xlfn.IFNA(INDEX('Shultis Faw'!$E$2:$E$26,MATCH($C709,'Shultis Faw'!$A$2:$A$26,1))+($C709-INDEX('Shultis Faw'!$A$2:$A$26,MATCH($C709,'Shultis Faw'!$A$2:$A$26,1)))*(INDEX('Shultis Faw'!$E$2:$E$26,MATCH($C709,'Shultis Faw'!$A$2:$A$26,1)+1)-INDEX('Shultis Faw'!$E$2:$E$26,MATCH($C709,'Shultis Faw'!$A$2:$A$26,1)))/(INDEX('Shultis Faw'!$A$2:$A$26,MATCH($C709,'Shultis Faw'!$A$2:$A$26,1)+1)-INDEX('Shultis Faw'!$A$2:$A$26,MATCH($C709,'Shultis Faw'!$A$2:$A$26,1))),$C709*'Shultis Faw'!$E$2/'Shultis Faw'!$A$2)</f>
        <v>3.49089624E-2</v>
      </c>
      <c r="M709" s="83">
        <f>_xlfn.IFNA(INDEX('Shultis Faw'!$F$2:$F$26,MATCH($C709,'Shultis Faw'!$A$2:$A$26,1))+($C709-INDEX('Shultis Faw'!$A$2:$A$26,MATCH($C709,'Shultis Faw'!$A$2:$A$26,1)))*(INDEX('Shultis Faw'!$F$2:$F$26,MATCH($C709,'Shultis Faw'!$A$2:$A$26,1)+1)-INDEX('Shultis Faw'!$F$2:$F$26,MATCH($C709,'Shultis Faw'!$A$2:$A$26,1)))/(INDEX('Shultis Faw'!$A$2:$A$26,MATCH($C709,'Shultis Faw'!$A$2:$A$26,1)+1)-INDEX('Shultis Faw'!$A$2:$A$26,MATCH($C709,'Shultis Faw'!$A$2:$A$26,1))),$C709*'Shultis Faw'!$F$2/'Shultis Faw'!$A$2)</f>
        <v>14.285705400000001</v>
      </c>
      <c r="N709" s="83">
        <f>J709*(H709*'Externe blootstelling'!$D$23/2)^K709+L709*(TANH(((H709*'Externe blootstelling'!$D$23)/(2*M709))-2)-TANH(-2))/(1-TANH(-2))</f>
        <v>1.4024417852497328</v>
      </c>
      <c r="O709" s="83">
        <f>IF(N709=1,1+(I709-1)*H709*'Externe blootstelling'!$D$23/2,1+(I709-1)*(N709^(H709*'Externe blootstelling'!$D$23/2)-1)/(N709-1))</f>
        <v>2.077852207571047</v>
      </c>
      <c r="P709" s="67">
        <f>G709*EXP(-H709*'Externe blootstelling'!$D$23/2)*O709</f>
        <v>4.2612506546107149E-3</v>
      </c>
      <c r="Q709" s="68"/>
    </row>
    <row r="710" spans="1:17" x14ac:dyDescent="0.2">
      <c r="A710" s="217"/>
      <c r="B710" s="64" t="s">
        <v>104</v>
      </c>
      <c r="C710" s="66">
        <v>1.1963299999999999</v>
      </c>
      <c r="D710" s="66">
        <f t="shared" si="46"/>
        <v>1.9141279999999999E-13</v>
      </c>
      <c r="E710" s="66">
        <v>1.03E-4</v>
      </c>
      <c r="F710" s="66">
        <f>_xlfn.IFNA(INDEX('hp (pSv cm2)'!$B$2:$B$52,MATCH($C710,'hp (pSv cm2)'!$A$2:$A$52,1))+($C710-INDEX('hp (pSv cm2)'!$A$2:$A$52,MATCH($C710,'hp (pSv cm2)'!$A$2:$A$52,1)))*(INDEX('hp (pSv cm2)'!$B$2:$B$52,MATCH($C710,'hp (pSv cm2)'!$A$2:$A$52,1)+1)-INDEX('hp (pSv cm2)'!$B$2:$B$52,MATCH($C710,'hp (pSv cm2)'!$A$2:$A$52,1)))/(INDEX('hp (pSv cm2)'!$A$2:$A$52,MATCH($C710,'hp (pSv cm2)'!$A$2:$A$52,1)+1)-INDEX('hp (pSv cm2)'!$A$2:$A$52,MATCH($C710,'hp (pSv cm2)'!$A$2:$A$52,1))),$C710*'hp (pSv cm2)'!$B$2/'hp (pSv cm2)'!$A$2)</f>
        <v>5.1300357999999999</v>
      </c>
      <c r="G710" s="67">
        <f t="shared" si="47"/>
        <v>5.2839368739999993E-4</v>
      </c>
      <c r="H710" s="83">
        <f>_xlfn.IFNA(0.997*(INDEX('Mass attenuation coefficients'!$B$2:$B$37,MATCH($C710,'Mass attenuation coefficients'!$A$2:$A$37,1))+($C710-INDEX('Mass attenuation coefficients'!$A$2:$A$37,MATCH($C710,'Mass attenuation coefficients'!$A$2:$A$37,1)))*(INDEX('Mass attenuation coefficients'!$B$2:$B$37,MATCH($C710,'Mass attenuation coefficients'!$A$2:$A$37,1)+1)-INDEX('Mass attenuation coefficients'!$B$2:$B$37,MATCH($C710,'Mass attenuation coefficients'!$A$2:$A$37,1)))/(INDEX('Mass attenuation coefficients'!$A$2:$A$37,MATCH($C710,'Mass attenuation coefficients'!$A$2:$A$37,1)+1)-INDEX('Mass attenuation coefficients'!$A$2:$A$37,MATCH($C710,'Mass attenuation coefficients'!$A$2:$A$37,1)))),0.997*$C710*'Mass attenuation coefficients'!$B$2/'Mass attenuation coefficients'!$A$2)</f>
        <v>6.4643439340400011E-2</v>
      </c>
      <c r="I710" s="83">
        <f>_xlfn.IFNA(INDEX('Shultis Faw'!$C$2:$C$26,MATCH($C710,'Shultis Faw'!$A$2:$A$26,1))+($C710-INDEX('Shultis Faw'!$A$2:$A$26,MATCH($C710,'Shultis Faw'!$A$2:$A$26,1)))*(INDEX('Shultis Faw'!$C$2:$C$26,MATCH($C710,'Shultis Faw'!$A$2:$A$26,1)+1)-INDEX('Shultis Faw'!$C$2:$C$26,MATCH($C710,'Shultis Faw'!$A$2:$A$26,1)))/(INDEX('Shultis Faw'!$A$2:$A$26,MATCH($C710,'Shultis Faw'!$A$2:$A$26,1)+1)-INDEX('Shultis Faw'!$A$2:$A$26,MATCH($C710,'Shultis Faw'!$A$2:$A$26,1))),$C710*'Shultis Faw'!$C$2/'Shultis Faw'!$A$2)</f>
        <v>2.03860376</v>
      </c>
      <c r="J710" s="83">
        <f>_xlfn.IFNA(INDEX('Shultis Faw'!$D$2:$D$26,MATCH($C710,'Shultis Faw'!$A$2:$A$26,1))+($C710-INDEX('Shultis Faw'!$A$2:$A$26,MATCH($C710,'Shultis Faw'!$A$2:$A$26,1)))*(INDEX('Shultis Faw'!$D$2:$D$26,MATCH($C710,'Shultis Faw'!$A$2:$A$26,1)+1)-INDEX('Shultis Faw'!$D$2:$D$26,MATCH($C710,'Shultis Faw'!$A$2:$A$26,1)))/(INDEX('Shultis Faw'!$A$2:$A$26,MATCH($C710,'Shultis Faw'!$A$2:$A$26,1)+1)-INDEX('Shultis Faw'!$A$2:$A$26,MATCH($C710,'Shultis Faw'!$A$2:$A$26,1))),$C710*'Shultis Faw'!$D$2/'Shultis Faw'!$A$2)</f>
        <v>1.3734624800000002</v>
      </c>
      <c r="K710" s="83">
        <f>_xlfn.IFNA(INDEX('Shultis Faw'!$B$2:$B$26,MATCH($C710,'Shultis Faw'!$A$2:$A$26,1))+($C710-INDEX('Shultis Faw'!$A$2:$A$26,MATCH($C710,'Shultis Faw'!$A$2:$A$26,1)))*(INDEX('Shultis Faw'!$B$2:$B$26,MATCH($C710,'Shultis Faw'!$A$2:$A$26,1)+1)-INDEX('Shultis Faw'!$B$2:$B$26,MATCH($C710,'Shultis Faw'!$A$2:$A$26,1)))/(INDEX('Shultis Faw'!$A$2:$A$26,MATCH($C710,'Shultis Faw'!$A$2:$A$26,1)+1)-INDEX('Shultis Faw'!$A$2:$A$26,MATCH($C710,'Shultis Faw'!$A$2:$A$26,1))),$C710*'Shultis Faw'!$B$2/'Shultis Faw'!$A$2)</f>
        <v>-7.682754E-2</v>
      </c>
      <c r="L710" s="83">
        <f>_xlfn.IFNA(INDEX('Shultis Faw'!$E$2:$E$26,MATCH($C710,'Shultis Faw'!$A$2:$A$26,1))+($C710-INDEX('Shultis Faw'!$A$2:$A$26,MATCH($C710,'Shultis Faw'!$A$2:$A$26,1)))*(INDEX('Shultis Faw'!$E$2:$E$26,MATCH($C710,'Shultis Faw'!$A$2:$A$26,1)+1)-INDEX('Shultis Faw'!$E$2:$E$26,MATCH($C710,'Shultis Faw'!$A$2:$A$26,1)))/(INDEX('Shultis Faw'!$A$2:$A$26,MATCH($C710,'Shultis Faw'!$A$2:$A$26,1)+1)-INDEX('Shultis Faw'!$A$2:$A$26,MATCH($C710,'Shultis Faw'!$A$2:$A$26,1))),$C710*'Shultis Faw'!$E$2/'Shultis Faw'!$A$2)</f>
        <v>3.2616888000000004E-2</v>
      </c>
      <c r="M710" s="83">
        <f>_xlfn.IFNA(INDEX('Shultis Faw'!$F$2:$F$26,MATCH($C710,'Shultis Faw'!$A$2:$A$26,1))+($C710-INDEX('Shultis Faw'!$A$2:$A$26,MATCH($C710,'Shultis Faw'!$A$2:$A$26,1)))*(INDEX('Shultis Faw'!$F$2:$F$26,MATCH($C710,'Shultis Faw'!$A$2:$A$26,1)+1)-INDEX('Shultis Faw'!$F$2:$F$26,MATCH($C710,'Shultis Faw'!$A$2:$A$26,1)))/(INDEX('Shultis Faw'!$A$2:$A$26,MATCH($C710,'Shultis Faw'!$A$2:$A$26,1)+1)-INDEX('Shultis Faw'!$A$2:$A$26,MATCH($C710,'Shultis Faw'!$A$2:$A$26,1))),$C710*'Shultis Faw'!$F$2/'Shultis Faw'!$A$2)</f>
        <v>14.337797999999999</v>
      </c>
      <c r="N710" s="83">
        <f>J710*(H710*'Externe blootstelling'!$D$23/2)^K710+L710*(TANH(((H710*'Externe blootstelling'!$D$23)/(2*M710))-2)-TANH(-2))/(1-TANH(-2))</f>
        <v>1.3768030342752893</v>
      </c>
      <c r="O710" s="83">
        <f>IF(N710=1,1+(I710-1)*H710*'Externe blootstelling'!$D$23/2,1+(I710-1)*(N710^(H710*'Externe blootstelling'!$D$23/2)-1)/(N710-1))</f>
        <v>2.0019543077647195</v>
      </c>
      <c r="P710" s="67">
        <f>G710*EXP(-H710*'Externe blootstelling'!$D$23/2)*O710</f>
        <v>4.0114136372580277E-4</v>
      </c>
      <c r="Q710" s="68"/>
    </row>
    <row r="711" spans="1:17" x14ac:dyDescent="0.2">
      <c r="A711" s="217"/>
      <c r="B711" s="64" t="s">
        <v>104</v>
      </c>
      <c r="C711" s="66">
        <v>1.2343</v>
      </c>
      <c r="D711" s="66">
        <f t="shared" si="46"/>
        <v>1.9748799999999998E-13</v>
      </c>
      <c r="E711" s="66">
        <v>9.0000000000000002E-6</v>
      </c>
      <c r="F711" s="66">
        <f>_xlfn.IFNA(INDEX('hp (pSv cm2)'!$B$2:$B$52,MATCH($C711,'hp (pSv cm2)'!$A$2:$A$52,1))+($C711-INDEX('hp (pSv cm2)'!$A$2:$A$52,MATCH($C711,'hp (pSv cm2)'!$A$2:$A$52,1)))*(INDEX('hp (pSv cm2)'!$B$2:$B$52,MATCH($C711,'hp (pSv cm2)'!$A$2:$A$52,1)+1)-INDEX('hp (pSv cm2)'!$B$2:$B$52,MATCH($C711,'hp (pSv cm2)'!$A$2:$A$52,1)))/(INDEX('hp (pSv cm2)'!$A$2:$A$52,MATCH($C711,'hp (pSv cm2)'!$A$2:$A$52,1)+1)-INDEX('hp (pSv cm2)'!$A$2:$A$52,MATCH($C711,'hp (pSv cm2)'!$A$2:$A$52,1))),$C711*'hp (pSv cm2)'!$B$2/'hp (pSv cm2)'!$A$2)</f>
        <v>5.2538179999999999</v>
      </c>
      <c r="G711" s="67">
        <f t="shared" si="47"/>
        <v>4.7284362E-5</v>
      </c>
      <c r="H711" s="83">
        <f>_xlfn.IFNA(0.997*(INDEX('Mass attenuation coefficients'!$B$2:$B$37,MATCH($C711,'Mass attenuation coefficients'!$A$2:$A$37,1))+($C711-INDEX('Mass attenuation coefficients'!$A$2:$A$37,MATCH($C711,'Mass attenuation coefficients'!$A$2:$A$37,1)))*(INDEX('Mass attenuation coefficients'!$B$2:$B$37,MATCH($C711,'Mass attenuation coefficients'!$A$2:$A$37,1)+1)-INDEX('Mass attenuation coefficients'!$B$2:$B$37,MATCH($C711,'Mass attenuation coefficients'!$A$2:$A$37,1)))/(INDEX('Mass attenuation coefficients'!$A$2:$A$37,MATCH($C711,'Mass attenuation coefficients'!$A$2:$A$37,1)+1)-INDEX('Mass attenuation coefficients'!$A$2:$A$37,MATCH($C711,'Mass attenuation coefficients'!$A$2:$A$37,1)))),0.997*$C711*'Mass attenuation coefficients'!$B$2/'Mass attenuation coefficients'!$A$2)</f>
        <v>6.3509270883999991E-2</v>
      </c>
      <c r="I711" s="83">
        <f>_xlfn.IFNA(INDEX('Shultis Faw'!$C$2:$C$26,MATCH($C711,'Shultis Faw'!$A$2:$A$26,1))+($C711-INDEX('Shultis Faw'!$A$2:$A$26,MATCH($C711,'Shultis Faw'!$A$2:$A$26,1)))*(INDEX('Shultis Faw'!$C$2:$C$26,MATCH($C711,'Shultis Faw'!$A$2:$A$26,1)+1)-INDEX('Shultis Faw'!$C$2:$C$26,MATCH($C711,'Shultis Faw'!$A$2:$A$26,1)))/(INDEX('Shultis Faw'!$A$2:$A$26,MATCH($C711,'Shultis Faw'!$A$2:$A$26,1)+1)-INDEX('Shultis Faw'!$A$2:$A$26,MATCH($C711,'Shultis Faw'!$A$2:$A$26,1))),$C711*'Shultis Faw'!$C$2/'Shultis Faw'!$A$2)</f>
        <v>2.0261496000000001</v>
      </c>
      <c r="J711" s="83">
        <f>_xlfn.IFNA(INDEX('Shultis Faw'!$D$2:$D$26,MATCH($C711,'Shultis Faw'!$A$2:$A$26,1))+($C711-INDEX('Shultis Faw'!$A$2:$A$26,MATCH($C711,'Shultis Faw'!$A$2:$A$26,1)))*(INDEX('Shultis Faw'!$D$2:$D$26,MATCH($C711,'Shultis Faw'!$A$2:$A$26,1)+1)-INDEX('Shultis Faw'!$D$2:$D$26,MATCH($C711,'Shultis Faw'!$A$2:$A$26,1)))/(INDEX('Shultis Faw'!$A$2:$A$26,MATCH($C711,'Shultis Faw'!$A$2:$A$26,1)+1)-INDEX('Shultis Faw'!$A$2:$A$26,MATCH($C711,'Shultis Faw'!$A$2:$A$26,1))),$C711*'Shultis Faw'!$D$2/'Shultis Faw'!$A$2)</f>
        <v>1.3604008000000001</v>
      </c>
      <c r="K711" s="83">
        <f>_xlfn.IFNA(INDEX('Shultis Faw'!$B$2:$B$26,MATCH($C711,'Shultis Faw'!$A$2:$A$26,1))+($C711-INDEX('Shultis Faw'!$A$2:$A$26,MATCH($C711,'Shultis Faw'!$A$2:$A$26,1)))*(INDEX('Shultis Faw'!$B$2:$B$26,MATCH($C711,'Shultis Faw'!$A$2:$A$26,1)+1)-INDEX('Shultis Faw'!$B$2:$B$26,MATCH($C711,'Shultis Faw'!$A$2:$A$26,1)))/(INDEX('Shultis Faw'!$A$2:$A$26,MATCH($C711,'Shultis Faw'!$A$2:$A$26,1)+1)-INDEX('Shultis Faw'!$A$2:$A$26,MATCH($C711,'Shultis Faw'!$A$2:$A$26,1))),$C711*'Shultis Faw'!$B$2/'Shultis Faw'!$A$2)</f>
        <v>-7.4473399999999995E-2</v>
      </c>
      <c r="L711" s="83">
        <f>_xlfn.IFNA(INDEX('Shultis Faw'!$E$2:$E$26,MATCH($C711,'Shultis Faw'!$A$2:$A$26,1))+($C711-INDEX('Shultis Faw'!$A$2:$A$26,MATCH($C711,'Shultis Faw'!$A$2:$A$26,1)))*(INDEX('Shultis Faw'!$E$2:$E$26,MATCH($C711,'Shultis Faw'!$A$2:$A$26,1)+1)-INDEX('Shultis Faw'!$E$2:$E$26,MATCH($C711,'Shultis Faw'!$A$2:$A$26,1)))/(INDEX('Shultis Faw'!$A$2:$A$26,MATCH($C711,'Shultis Faw'!$A$2:$A$26,1)+1)-INDEX('Shultis Faw'!$A$2:$A$26,MATCH($C711,'Shultis Faw'!$A$2:$A$26,1))),$C711*'Shultis Faw'!$E$2/'Shultis Faw'!$A$2)</f>
        <v>3.161448E-2</v>
      </c>
      <c r="M711" s="83">
        <f>_xlfn.IFNA(INDEX('Shultis Faw'!$F$2:$F$26,MATCH($C711,'Shultis Faw'!$A$2:$A$26,1))+($C711-INDEX('Shultis Faw'!$A$2:$A$26,MATCH($C711,'Shultis Faw'!$A$2:$A$26,1)))*(INDEX('Shultis Faw'!$F$2:$F$26,MATCH($C711,'Shultis Faw'!$A$2:$A$26,1)+1)-INDEX('Shultis Faw'!$F$2:$F$26,MATCH($C711,'Shultis Faw'!$A$2:$A$26,1)))/(INDEX('Shultis Faw'!$A$2:$A$26,MATCH($C711,'Shultis Faw'!$A$2:$A$26,1)+1)-INDEX('Shultis Faw'!$A$2:$A$26,MATCH($C711,'Shultis Faw'!$A$2:$A$26,1))),$C711*'Shultis Faw'!$F$2/'Shultis Faw'!$A$2)</f>
        <v>14.360580000000001</v>
      </c>
      <c r="N711" s="83">
        <f>J711*(H711*'Externe blootstelling'!$D$23/2)^K711+L711*(TANH(((H711*'Externe blootstelling'!$D$23)/(2*M711))-2)-TANH(-2))/(1-TANH(-2))</f>
        <v>1.3654058185025824</v>
      </c>
      <c r="O711" s="83">
        <f>IF(N711=1,1+(I711-1)*H711*'Externe blootstelling'!$D$23/2,1+(I711-1)*(N711^(H711*'Externe blootstelling'!$D$23/2)-1)/(N711-1))</f>
        <v>1.970004893185171</v>
      </c>
      <c r="P711" s="67">
        <f>G711*EXP(-H711*'Externe blootstelling'!$D$23/2)*O711</f>
        <v>3.5930143358730604E-5</v>
      </c>
      <c r="Q711" s="68"/>
    </row>
    <row r="712" spans="1:17" x14ac:dyDescent="0.2">
      <c r="A712" s="218"/>
      <c r="B712" s="64" t="s">
        <v>104</v>
      </c>
      <c r="C712" s="66">
        <v>1.27075</v>
      </c>
      <c r="D712" s="66">
        <f t="shared" si="46"/>
        <v>2.0331999999999999E-13</v>
      </c>
      <c r="E712" s="66">
        <v>6.7999999999999999E-5</v>
      </c>
      <c r="F712" s="66">
        <f>_xlfn.IFNA(INDEX('hp (pSv cm2)'!$B$2:$B$52,MATCH($C712,'hp (pSv cm2)'!$A$2:$A$52,1))+($C712-INDEX('hp (pSv cm2)'!$A$2:$A$52,MATCH($C712,'hp (pSv cm2)'!$A$2:$A$52,1)))*(INDEX('hp (pSv cm2)'!$B$2:$B$52,MATCH($C712,'hp (pSv cm2)'!$A$2:$A$52,1)+1)-INDEX('hp (pSv cm2)'!$B$2:$B$52,MATCH($C712,'hp (pSv cm2)'!$A$2:$A$52,1)))/(INDEX('hp (pSv cm2)'!$A$2:$A$52,MATCH($C712,'hp (pSv cm2)'!$A$2:$A$52,1)+1)-INDEX('hp (pSv cm2)'!$A$2:$A$52,MATCH($C712,'hp (pSv cm2)'!$A$2:$A$52,1))),$C712*'hp (pSv cm2)'!$B$2/'hp (pSv cm2)'!$A$2)</f>
        <v>5.3726450000000003</v>
      </c>
      <c r="G712" s="67">
        <f t="shared" si="47"/>
        <v>3.6533986000000004E-4</v>
      </c>
      <c r="H712" s="83">
        <f>_xlfn.IFNA(0.997*(INDEX('Mass attenuation coefficients'!$B$2:$B$37,MATCH($C712,'Mass attenuation coefficients'!$A$2:$A$37,1))+($C712-INDEX('Mass attenuation coefficients'!$A$2:$A$37,MATCH($C712,'Mass attenuation coefficients'!$A$2:$A$37,1)))*(INDEX('Mass attenuation coefficients'!$B$2:$B$37,MATCH($C712,'Mass attenuation coefficients'!$A$2:$A$37,1)+1)-INDEX('Mass attenuation coefficients'!$B$2:$B$37,MATCH($C712,'Mass attenuation coefficients'!$A$2:$A$37,1)))/(INDEX('Mass attenuation coefficients'!$A$2:$A$37,MATCH($C712,'Mass attenuation coefficients'!$A$2:$A$37,1)+1)-INDEX('Mass attenuation coefficients'!$A$2:$A$37,MATCH($C712,'Mass attenuation coefficients'!$A$2:$A$37,1)))),0.997*$C712*'Mass attenuation coefficients'!$B$2/'Mass attenuation coefficients'!$A$2)</f>
        <v>6.2569456809999993E-2</v>
      </c>
      <c r="I712" s="83">
        <f>_xlfn.IFNA(INDEX('Shultis Faw'!$C$2:$C$26,MATCH($C712,'Shultis Faw'!$A$2:$A$26,1))+($C712-INDEX('Shultis Faw'!$A$2:$A$26,MATCH($C712,'Shultis Faw'!$A$2:$A$26,1)))*(INDEX('Shultis Faw'!$C$2:$C$26,MATCH($C712,'Shultis Faw'!$A$2:$A$26,1)+1)-INDEX('Shultis Faw'!$C$2:$C$26,MATCH($C712,'Shultis Faw'!$A$2:$A$26,1)))/(INDEX('Shultis Faw'!$A$2:$A$26,MATCH($C712,'Shultis Faw'!$A$2:$A$26,1)+1)-INDEX('Shultis Faw'!$A$2:$A$26,MATCH($C712,'Shultis Faw'!$A$2:$A$26,1))),$C712*'Shultis Faw'!$C$2/'Shultis Faw'!$A$2)</f>
        <v>2.0141940000000003</v>
      </c>
      <c r="J712" s="83">
        <f>_xlfn.IFNA(INDEX('Shultis Faw'!$D$2:$D$26,MATCH($C712,'Shultis Faw'!$A$2:$A$26,1))+($C712-INDEX('Shultis Faw'!$A$2:$A$26,MATCH($C712,'Shultis Faw'!$A$2:$A$26,1)))*(INDEX('Shultis Faw'!$D$2:$D$26,MATCH($C712,'Shultis Faw'!$A$2:$A$26,1)+1)-INDEX('Shultis Faw'!$D$2:$D$26,MATCH($C712,'Shultis Faw'!$A$2:$A$26,1)))/(INDEX('Shultis Faw'!$A$2:$A$26,MATCH($C712,'Shultis Faw'!$A$2:$A$26,1)+1)-INDEX('Shultis Faw'!$A$2:$A$26,MATCH($C712,'Shultis Faw'!$A$2:$A$26,1))),$C712*'Shultis Faw'!$D$2/'Shultis Faw'!$A$2)</f>
        <v>1.3478619999999999</v>
      </c>
      <c r="K712" s="83">
        <f>_xlfn.IFNA(INDEX('Shultis Faw'!$B$2:$B$26,MATCH($C712,'Shultis Faw'!$A$2:$A$26,1))+($C712-INDEX('Shultis Faw'!$A$2:$A$26,MATCH($C712,'Shultis Faw'!$A$2:$A$26,1)))*(INDEX('Shultis Faw'!$B$2:$B$26,MATCH($C712,'Shultis Faw'!$A$2:$A$26,1)+1)-INDEX('Shultis Faw'!$B$2:$B$26,MATCH($C712,'Shultis Faw'!$A$2:$A$26,1)))/(INDEX('Shultis Faw'!$A$2:$A$26,MATCH($C712,'Shultis Faw'!$A$2:$A$26,1)+1)-INDEX('Shultis Faw'!$A$2:$A$26,MATCH($C712,'Shultis Faw'!$A$2:$A$26,1))),$C712*'Shultis Faw'!$B$2/'Shultis Faw'!$A$2)</f>
        <v>-7.22135E-2</v>
      </c>
      <c r="L712" s="83">
        <f>_xlfn.IFNA(INDEX('Shultis Faw'!$E$2:$E$26,MATCH($C712,'Shultis Faw'!$A$2:$A$26,1))+($C712-INDEX('Shultis Faw'!$A$2:$A$26,MATCH($C712,'Shultis Faw'!$A$2:$A$26,1)))*(INDEX('Shultis Faw'!$E$2:$E$26,MATCH($C712,'Shultis Faw'!$A$2:$A$26,1)+1)-INDEX('Shultis Faw'!$E$2:$E$26,MATCH($C712,'Shultis Faw'!$A$2:$A$26,1)))/(INDEX('Shultis Faw'!$A$2:$A$26,MATCH($C712,'Shultis Faw'!$A$2:$A$26,1)+1)-INDEX('Shultis Faw'!$A$2:$A$26,MATCH($C712,'Shultis Faw'!$A$2:$A$26,1))),$C712*'Shultis Faw'!$E$2/'Shultis Faw'!$A$2)</f>
        <v>3.0652199999999998E-2</v>
      </c>
      <c r="M712" s="83">
        <f>_xlfn.IFNA(INDEX('Shultis Faw'!$F$2:$F$26,MATCH($C712,'Shultis Faw'!$A$2:$A$26,1))+($C712-INDEX('Shultis Faw'!$A$2:$A$26,MATCH($C712,'Shultis Faw'!$A$2:$A$26,1)))*(INDEX('Shultis Faw'!$F$2:$F$26,MATCH($C712,'Shultis Faw'!$A$2:$A$26,1)+1)-INDEX('Shultis Faw'!$F$2:$F$26,MATCH($C712,'Shultis Faw'!$A$2:$A$26,1)))/(INDEX('Shultis Faw'!$A$2:$A$26,MATCH($C712,'Shultis Faw'!$A$2:$A$26,1)+1)-INDEX('Shultis Faw'!$A$2:$A$26,MATCH($C712,'Shultis Faw'!$A$2:$A$26,1))),$C712*'Shultis Faw'!$F$2/'Shultis Faw'!$A$2)</f>
        <v>14.38245</v>
      </c>
      <c r="N712" s="83">
        <f>J712*(H712*'Externe blootstelling'!$D$23/2)^K712+L712*(TANH(((H712*'Externe blootstelling'!$D$23)/(2*M712))-2)-TANH(-2))/(1-TANH(-2))</f>
        <v>1.3541265018948581</v>
      </c>
      <c r="O712" s="83">
        <f>IF(N712=1,1+(I712-1)*H712*'Externe blootstelling'!$D$23/2,1+(I712-1)*(N712^(H712*'Externe blootstelling'!$D$23/2)-1)/(N712-1))</f>
        <v>1.9426078751250884</v>
      </c>
      <c r="P712" s="67">
        <f>G712*EXP(-H712*'Externe blootstelling'!$D$23/2)*O712</f>
        <v>2.7763783911130877E-4</v>
      </c>
      <c r="Q712" s="68"/>
    </row>
    <row r="713" spans="1:17" x14ac:dyDescent="0.2">
      <c r="A713" s="216" t="s">
        <v>155</v>
      </c>
      <c r="B713" s="64" t="s">
        <v>102</v>
      </c>
      <c r="C713" s="66">
        <v>1.184465E-2</v>
      </c>
      <c r="D713" s="66">
        <f t="shared" si="46"/>
        <v>1.8951439999999999E-15</v>
      </c>
      <c r="E713" s="66">
        <v>9.2899999999999996E-3</v>
      </c>
      <c r="F713" s="66">
        <f>_xlfn.IFNA(INDEX('hp (pSv cm2)'!$B$2:$B$52,MATCH($C713,'hp (pSv cm2)'!$A$2:$A$52,1))+($C713-INDEX('hp (pSv cm2)'!$A$2:$A$52,MATCH($C713,'hp (pSv cm2)'!$A$2:$A$52,1)))*(INDEX('hp (pSv cm2)'!$B$2:$B$52,MATCH($C713,'hp (pSv cm2)'!$A$2:$A$52,1)+1)-INDEX('hp (pSv cm2)'!$B$2:$B$52,MATCH($C713,'hp (pSv cm2)'!$A$2:$A$52,1)))/(INDEX('hp (pSv cm2)'!$A$2:$A$52,MATCH($C713,'hp (pSv cm2)'!$A$2:$A$52,1)+1)-INDEX('hp (pSv cm2)'!$A$2:$A$52,MATCH($C713,'hp (pSv cm2)'!$A$2:$A$52,1))),$C713*'hp (pSv cm2)'!$B$2/'hp (pSv cm2)'!$A$2)</f>
        <v>0.10216486249999998</v>
      </c>
      <c r="G713" s="67">
        <f t="shared" si="47"/>
        <v>9.4911157262499981E-4</v>
      </c>
      <c r="H713" s="83">
        <f>_xlfn.IFNA(0.997*(INDEX('Mass attenuation coefficients'!$B$2:$B$37,MATCH($C713,'Mass attenuation coefficients'!$A$2:$A$37,1))+($C713-INDEX('Mass attenuation coefficients'!$A$2:$A$37,MATCH($C713,'Mass attenuation coefficients'!$A$2:$A$37,1)))*(INDEX('Mass attenuation coefficients'!$B$2:$B$37,MATCH($C713,'Mass attenuation coefficients'!$A$2:$A$37,1)+1)-INDEX('Mass attenuation coefficients'!$B$2:$B$37,MATCH($C713,'Mass attenuation coefficients'!$A$2:$A$37,1)))/(INDEX('Mass attenuation coefficients'!$A$2:$A$37,MATCH($C713,'Mass attenuation coefficients'!$A$2:$A$37,1)+1)-INDEX('Mass attenuation coefficients'!$A$2:$A$37,MATCH($C713,'Mass attenuation coefficients'!$A$2:$A$37,1)))),0.997*$C713*'Mass attenuation coefficients'!$B$2/'Mass attenuation coefficients'!$A$2)</f>
        <v>3.96825134424</v>
      </c>
      <c r="I713" s="83">
        <f>_xlfn.IFNA(INDEX('Shultis Faw'!$C$2:$C$26,MATCH($C713,'Shultis Faw'!$A$2:$A$26,1))+($C713-INDEX('Shultis Faw'!$A$2:$A$26,MATCH($C713,'Shultis Faw'!$A$2:$A$26,1)))*(INDEX('Shultis Faw'!$C$2:$C$26,MATCH($C713,'Shultis Faw'!$A$2:$A$26,1)+1)-INDEX('Shultis Faw'!$C$2:$C$26,MATCH($C713,'Shultis Faw'!$A$2:$A$26,1)))/(INDEX('Shultis Faw'!$A$2:$A$26,MATCH($C713,'Shultis Faw'!$A$2:$A$26,1)+1)-INDEX('Shultis Faw'!$A$2:$A$26,MATCH($C713,'Shultis Faw'!$A$2:$A$26,1))),$C713*'Shultis Faw'!$C$2/'Shultis Faw'!$A$2)</f>
        <v>0.93335841999999991</v>
      </c>
      <c r="J713" s="83">
        <f>_xlfn.IFNA(INDEX('Shultis Faw'!$D$2:$D$26,MATCH($C713,'Shultis Faw'!$A$2:$A$26,1))+($C713-INDEX('Shultis Faw'!$A$2:$A$26,MATCH($C713,'Shultis Faw'!$A$2:$A$26,1)))*(INDEX('Shultis Faw'!$D$2:$D$26,MATCH($C713,'Shultis Faw'!$A$2:$A$26,1)+1)-INDEX('Shultis Faw'!$D$2:$D$26,MATCH($C713,'Shultis Faw'!$A$2:$A$26,1)))/(INDEX('Shultis Faw'!$A$2:$A$26,MATCH($C713,'Shultis Faw'!$A$2:$A$26,1)+1)-INDEX('Shultis Faw'!$A$2:$A$26,MATCH($C713,'Shultis Faw'!$A$2:$A$26,1))),$C713*'Shultis Faw'!$D$2/'Shultis Faw'!$A$2)</f>
        <v>0.36560486333333336</v>
      </c>
      <c r="K713" s="83">
        <f>_xlfn.IFNA(INDEX('Shultis Faw'!$B$2:$B$26,MATCH($C713,'Shultis Faw'!$A$2:$A$26,1))+($C713-INDEX('Shultis Faw'!$A$2:$A$26,MATCH($C713,'Shultis Faw'!$A$2:$A$26,1)))*(INDEX('Shultis Faw'!$B$2:$B$26,MATCH($C713,'Shultis Faw'!$A$2:$A$26,1)+1)-INDEX('Shultis Faw'!$B$2:$B$26,MATCH($C713,'Shultis Faw'!$A$2:$A$26,1)))/(INDEX('Shultis Faw'!$A$2:$A$26,MATCH($C713,'Shultis Faw'!$A$2:$A$26,1)+1)-INDEX('Shultis Faw'!$A$2:$A$26,MATCH($C713,'Shultis Faw'!$A$2:$A$26,1))),$C713*'Shultis Faw'!$B$2/'Shultis Faw'!$A$2)</f>
        <v>0.13581865333333332</v>
      </c>
      <c r="L713" s="83">
        <f>_xlfn.IFNA(INDEX('Shultis Faw'!$E$2:$E$26,MATCH($C713,'Shultis Faw'!$A$2:$A$26,1))+($C713-INDEX('Shultis Faw'!$A$2:$A$26,MATCH($C713,'Shultis Faw'!$A$2:$A$26,1)))*(INDEX('Shultis Faw'!$E$2:$E$26,MATCH($C713,'Shultis Faw'!$A$2:$A$26,1)+1)-INDEX('Shultis Faw'!$E$2:$E$26,MATCH($C713,'Shultis Faw'!$A$2:$A$26,1)))/(INDEX('Shultis Faw'!$A$2:$A$26,MATCH($C713,'Shultis Faw'!$A$2:$A$26,1)+1)-INDEX('Shultis Faw'!$A$2:$A$26,MATCH($C713,'Shultis Faw'!$A$2:$A$26,1))),$C713*'Shultis Faw'!$E$2/'Shultis Faw'!$A$2)</f>
        <v>-7.1699614666666661E-2</v>
      </c>
      <c r="M713" s="83">
        <f>_xlfn.IFNA(INDEX('Shultis Faw'!$F$2:$F$26,MATCH($C713,'Shultis Faw'!$A$2:$A$26,1))+($C713-INDEX('Shultis Faw'!$A$2:$A$26,MATCH($C713,'Shultis Faw'!$A$2:$A$26,1)))*(INDEX('Shultis Faw'!$F$2:$F$26,MATCH($C713,'Shultis Faw'!$A$2:$A$26,1)+1)-INDEX('Shultis Faw'!$F$2:$F$26,MATCH($C713,'Shultis Faw'!$A$2:$A$26,1)))/(INDEX('Shultis Faw'!$A$2:$A$26,MATCH($C713,'Shultis Faw'!$A$2:$A$26,1)+1)-INDEX('Shultis Faw'!$A$2:$A$26,MATCH($C713,'Shultis Faw'!$A$2:$A$26,1))),$C713*'Shultis Faw'!$F$2/'Shultis Faw'!$A$2)</f>
        <v>11.236624633333335</v>
      </c>
      <c r="N713" s="83">
        <f>J713*(H713*'Externe blootstelling'!$D$23/2)^K713+L713*(TANH(((H713*'Externe blootstelling'!$D$23)/(2*M713))-2)-TANH(-2))/(1-TANH(-2))</f>
        <v>0.56526605905925509</v>
      </c>
      <c r="O713" s="83">
        <f>IF(N713=1,1+(I713-1)*H713*'Externe blootstelling'!$D$23/2,1+(I713-1)*(N713^(H713*'Externe blootstelling'!$D$23/2)-1)/(N713-1))</f>
        <v>0.84670720704302371</v>
      </c>
      <c r="P713" s="67">
        <f>G713*EXP(-H713*'Externe blootstelling'!$D$23/2)*O713</f>
        <v>1.1329365844696015E-29</v>
      </c>
      <c r="Q713" s="68"/>
    </row>
    <row r="714" spans="1:17" x14ac:dyDescent="0.2">
      <c r="A714" s="217"/>
      <c r="B714" s="64" t="s">
        <v>102</v>
      </c>
      <c r="C714" s="66">
        <v>7.0832499999999993E-2</v>
      </c>
      <c r="D714" s="66">
        <f t="shared" si="46"/>
        <v>1.1333199999999997E-14</v>
      </c>
      <c r="E714" s="66">
        <v>7.26E-3</v>
      </c>
      <c r="F714" s="66">
        <f>_xlfn.IFNA(INDEX('hp (pSv cm2)'!$B$2:$B$52,MATCH($C714,'hp (pSv cm2)'!$A$2:$A$52,1))+($C714-INDEX('hp (pSv cm2)'!$A$2:$A$52,MATCH($C714,'hp (pSv cm2)'!$A$2:$A$52,1)))*(INDEX('hp (pSv cm2)'!$B$2:$B$52,MATCH($C714,'hp (pSv cm2)'!$A$2:$A$52,1)+1)-INDEX('hp (pSv cm2)'!$B$2:$B$52,MATCH($C714,'hp (pSv cm2)'!$A$2:$A$52,1)))/(INDEX('hp (pSv cm2)'!$A$2:$A$52,MATCH($C714,'hp (pSv cm2)'!$A$2:$A$52,1)+1)-INDEX('hp (pSv cm2)'!$A$2:$A$52,MATCH($C714,'hp (pSv cm2)'!$A$2:$A$52,1))),$C714*'hp (pSv cm2)'!$B$2/'hp (pSv cm2)'!$A$2)</f>
        <v>0.41366399999999992</v>
      </c>
      <c r="G714" s="67">
        <f t="shared" si="47"/>
        <v>3.0032006399999993E-3</v>
      </c>
      <c r="H714" s="83">
        <f>_xlfn.IFNA(0.997*(INDEX('Mass attenuation coefficients'!$B$2:$B$37,MATCH($C714,'Mass attenuation coefficients'!$A$2:$A$37,1))+($C714-INDEX('Mass attenuation coefficients'!$A$2:$A$37,MATCH($C714,'Mass attenuation coefficients'!$A$2:$A$37,1)))*(INDEX('Mass attenuation coefficients'!$B$2:$B$37,MATCH($C714,'Mass attenuation coefficients'!$A$2:$A$37,1)+1)-INDEX('Mass attenuation coefficients'!$B$2:$B$37,MATCH($C714,'Mass attenuation coefficients'!$A$2:$A$37,1)))/(INDEX('Mass attenuation coefficients'!$A$2:$A$37,MATCH($C714,'Mass attenuation coefficients'!$A$2:$A$37,1)+1)-INDEX('Mass attenuation coefficients'!$A$2:$A$37,MATCH($C714,'Mass attenuation coefficients'!$A$2:$A$37,1)))),0.997*$C714*'Mass attenuation coefficients'!$B$2/'Mass attenuation coefficients'!$A$2)</f>
        <v>0.19329429722499999</v>
      </c>
      <c r="I714" s="83">
        <f>_xlfn.IFNA(INDEX('Shultis Faw'!$C$2:$C$26,MATCH($C714,'Shultis Faw'!$A$2:$A$26,1))+($C714-INDEX('Shultis Faw'!$A$2:$A$26,MATCH($C714,'Shultis Faw'!$A$2:$A$26,1)))*(INDEX('Shultis Faw'!$C$2:$C$26,MATCH($C714,'Shultis Faw'!$A$2:$A$26,1)+1)-INDEX('Shultis Faw'!$C$2:$C$26,MATCH($C714,'Shultis Faw'!$A$2:$A$26,1)))/(INDEX('Shultis Faw'!$A$2:$A$26,MATCH($C714,'Shultis Faw'!$A$2:$A$26,1)+1)-INDEX('Shultis Faw'!$A$2:$A$26,MATCH($C714,'Shultis Faw'!$A$2:$A$26,1))),$C714*'Shultis Faw'!$C$2/'Shultis Faw'!$A$2)</f>
        <v>5.0241635000000002</v>
      </c>
      <c r="J714" s="83">
        <f>_xlfn.IFNA(INDEX('Shultis Faw'!$D$2:$D$26,MATCH($C714,'Shultis Faw'!$A$2:$A$26,1))+($C714-INDEX('Shultis Faw'!$A$2:$A$26,MATCH($C714,'Shultis Faw'!$A$2:$A$26,1)))*(INDEX('Shultis Faw'!$D$2:$D$26,MATCH($C714,'Shultis Faw'!$A$2:$A$26,1)+1)-INDEX('Shultis Faw'!$D$2:$D$26,MATCH($C714,'Shultis Faw'!$A$2:$A$26,1)))/(INDEX('Shultis Faw'!$A$2:$A$26,MATCH($C714,'Shultis Faw'!$A$2:$A$26,1)+1)-INDEX('Shultis Faw'!$A$2:$A$26,MATCH($C714,'Shultis Faw'!$A$2:$A$26,1))),$C714*'Shultis Faw'!$D$2/'Shultis Faw'!$A$2)</f>
        <v>1.9081946249999999</v>
      </c>
      <c r="K714" s="83">
        <f>_xlfn.IFNA(INDEX('Shultis Faw'!$B$2:$B$26,MATCH($C714,'Shultis Faw'!$A$2:$A$26,1))+($C714-INDEX('Shultis Faw'!$A$2:$A$26,MATCH($C714,'Shultis Faw'!$A$2:$A$26,1)))*(INDEX('Shultis Faw'!$B$2:$B$26,MATCH($C714,'Shultis Faw'!$A$2:$A$26,1)+1)-INDEX('Shultis Faw'!$B$2:$B$26,MATCH($C714,'Shultis Faw'!$A$2:$A$26,1)))/(INDEX('Shultis Faw'!$A$2:$A$26,MATCH($C714,'Shultis Faw'!$A$2:$A$26,1)+1)-INDEX('Shultis Faw'!$A$2:$A$26,MATCH($C714,'Shultis Faw'!$A$2:$A$26,1))),$C714*'Shultis Faw'!$B$2/'Shultis Faw'!$A$2)</f>
        <v>-0.14874825</v>
      </c>
      <c r="L714" s="83">
        <f>_xlfn.IFNA(INDEX('Shultis Faw'!$E$2:$E$26,MATCH($C714,'Shultis Faw'!$A$2:$A$26,1))+($C714-INDEX('Shultis Faw'!$A$2:$A$26,MATCH($C714,'Shultis Faw'!$A$2:$A$26,1)))*(INDEX('Shultis Faw'!$E$2:$E$26,MATCH($C714,'Shultis Faw'!$A$2:$A$26,1)+1)-INDEX('Shultis Faw'!$E$2:$E$26,MATCH($C714,'Shultis Faw'!$A$2:$A$26,1)))/(INDEX('Shultis Faw'!$A$2:$A$26,MATCH($C714,'Shultis Faw'!$A$2:$A$26,1)+1)-INDEX('Shultis Faw'!$A$2:$A$26,MATCH($C714,'Shultis Faw'!$A$2:$A$26,1))),$C714*'Shultis Faw'!$E$2/'Shultis Faw'!$A$2)</f>
        <v>6.7419962499999986E-2</v>
      </c>
      <c r="M714" s="83">
        <f>_xlfn.IFNA(INDEX('Shultis Faw'!$F$2:$F$26,MATCH($C714,'Shultis Faw'!$A$2:$A$26,1))+($C714-INDEX('Shultis Faw'!$A$2:$A$26,MATCH($C714,'Shultis Faw'!$A$2:$A$26,1)))*(INDEX('Shultis Faw'!$F$2:$F$26,MATCH($C714,'Shultis Faw'!$A$2:$A$26,1)+1)-INDEX('Shultis Faw'!$F$2:$F$26,MATCH($C714,'Shultis Faw'!$A$2:$A$26,1)))/(INDEX('Shultis Faw'!$A$2:$A$26,MATCH($C714,'Shultis Faw'!$A$2:$A$26,1)+1)-INDEX('Shultis Faw'!$A$2:$A$26,MATCH($C714,'Shultis Faw'!$A$2:$A$26,1))),$C714*'Shultis Faw'!$F$2/'Shultis Faw'!$A$2)</f>
        <v>13.65624875</v>
      </c>
      <c r="N714" s="83">
        <f>J714*(H714*'Externe blootstelling'!$D$23/2)^K714+L714*(TANH(((H714*'Externe blootstelling'!$D$23)/(2*M714))-2)-TANH(-2))/(1-TANH(-2))</f>
        <v>1.6293869288383294</v>
      </c>
      <c r="O714" s="83">
        <f>IF(N714=1,1+(I714-1)*H714*'Externe blootstelling'!$D$23/2,1+(I714-1)*(N714^(H714*'Externe blootstelling'!$D$23/2)-1)/(N714-1))</f>
        <v>20.939439533043632</v>
      </c>
      <c r="P714" s="67">
        <f>G714*EXP(-H714*'Externe blootstelling'!$D$23/2)*O714</f>
        <v>3.4621804598471105E-3</v>
      </c>
      <c r="Q714" s="68"/>
    </row>
    <row r="715" spans="1:17" x14ac:dyDescent="0.2">
      <c r="A715" s="217"/>
      <c r="B715" s="64" t="s">
        <v>102</v>
      </c>
      <c r="C715" s="66">
        <v>7.2872500000000007E-2</v>
      </c>
      <c r="D715" s="66">
        <f t="shared" si="46"/>
        <v>1.1659599999999999E-14</v>
      </c>
      <c r="E715" s="66">
        <v>1.225E-2</v>
      </c>
      <c r="F715" s="66">
        <f>_xlfn.IFNA(INDEX('hp (pSv cm2)'!$B$2:$B$52,MATCH($C715,'hp (pSv cm2)'!$A$2:$A$52,1))+($C715-INDEX('hp (pSv cm2)'!$A$2:$A$52,MATCH($C715,'hp (pSv cm2)'!$A$2:$A$52,1)))*(INDEX('hp (pSv cm2)'!$B$2:$B$52,MATCH($C715,'hp (pSv cm2)'!$A$2:$A$52,1)+1)-INDEX('hp (pSv cm2)'!$B$2:$B$52,MATCH($C715,'hp (pSv cm2)'!$A$2:$A$52,1)))/(INDEX('hp (pSv cm2)'!$A$2:$A$52,MATCH($C715,'hp (pSv cm2)'!$A$2:$A$52,1)+1)-INDEX('hp (pSv cm2)'!$A$2:$A$52,MATCH($C715,'hp (pSv cm2)'!$A$2:$A$52,1))),$C715*'hp (pSv cm2)'!$B$2/'hp (pSv cm2)'!$A$2)</f>
        <v>0.42019200000000001</v>
      </c>
      <c r="G715" s="67">
        <f t="shared" si="47"/>
        <v>5.147352E-3</v>
      </c>
      <c r="H715" s="83">
        <f>_xlfn.IFNA(0.997*(INDEX('Mass attenuation coefficients'!$B$2:$B$37,MATCH($C715,'Mass attenuation coefficients'!$A$2:$A$37,1))+($C715-INDEX('Mass attenuation coefficients'!$A$2:$A$37,MATCH($C715,'Mass attenuation coefficients'!$A$2:$A$37,1)))*(INDEX('Mass attenuation coefficients'!$B$2:$B$37,MATCH($C715,'Mass attenuation coefficients'!$A$2:$A$37,1)+1)-INDEX('Mass attenuation coefficients'!$B$2:$B$37,MATCH($C715,'Mass attenuation coefficients'!$A$2:$A$37,1)))/(INDEX('Mass attenuation coefficients'!$A$2:$A$37,MATCH($C715,'Mass attenuation coefficients'!$A$2:$A$37,1)+1)-INDEX('Mass attenuation coefficients'!$A$2:$A$37,MATCH($C715,'Mass attenuation coefficients'!$A$2:$A$37,1)))),0.997*$C715*'Mass attenuation coefficients'!$B$2/'Mass attenuation coefficients'!$A$2)</f>
        <v>0.19103669042500002</v>
      </c>
      <c r="I715" s="83">
        <f>_xlfn.IFNA(INDEX('Shultis Faw'!$C$2:$C$26,MATCH($C715,'Shultis Faw'!$A$2:$A$26,1))+($C715-INDEX('Shultis Faw'!$A$2:$A$26,MATCH($C715,'Shultis Faw'!$A$2:$A$26,1)))*(INDEX('Shultis Faw'!$C$2:$C$26,MATCH($C715,'Shultis Faw'!$A$2:$A$26,1)+1)-INDEX('Shultis Faw'!$C$2:$C$26,MATCH($C715,'Shultis Faw'!$A$2:$A$26,1)))/(INDEX('Shultis Faw'!$A$2:$A$26,MATCH($C715,'Shultis Faw'!$A$2:$A$26,1)+1)-INDEX('Shultis Faw'!$A$2:$A$26,MATCH($C715,'Shultis Faw'!$A$2:$A$26,1))),$C715*'Shultis Faw'!$C$2/'Shultis Faw'!$A$2)</f>
        <v>5.0319155000000002</v>
      </c>
      <c r="J715" s="83">
        <f>_xlfn.IFNA(INDEX('Shultis Faw'!$D$2:$D$26,MATCH($C715,'Shultis Faw'!$A$2:$A$26,1))+($C715-INDEX('Shultis Faw'!$A$2:$A$26,MATCH($C715,'Shultis Faw'!$A$2:$A$26,1)))*(INDEX('Shultis Faw'!$D$2:$D$26,MATCH($C715,'Shultis Faw'!$A$2:$A$26,1)+1)-INDEX('Shultis Faw'!$D$2:$D$26,MATCH($C715,'Shultis Faw'!$A$2:$A$26,1)))/(INDEX('Shultis Faw'!$A$2:$A$26,MATCH($C715,'Shultis Faw'!$A$2:$A$26,1)+1)-INDEX('Shultis Faw'!$A$2:$A$26,MATCH($C715,'Shultis Faw'!$A$2:$A$26,1))),$C715*'Shultis Faw'!$D$2/'Shultis Faw'!$A$2)</f>
        <v>1.9417526250000001</v>
      </c>
      <c r="K715" s="83">
        <f>_xlfn.IFNA(INDEX('Shultis Faw'!$B$2:$B$26,MATCH($C715,'Shultis Faw'!$A$2:$A$26,1))+($C715-INDEX('Shultis Faw'!$A$2:$A$26,MATCH($C715,'Shultis Faw'!$A$2:$A$26,1)))*(INDEX('Shultis Faw'!$B$2:$B$26,MATCH($C715,'Shultis Faw'!$A$2:$A$26,1)+1)-INDEX('Shultis Faw'!$B$2:$B$26,MATCH($C715,'Shultis Faw'!$A$2:$A$26,1)))/(INDEX('Shultis Faw'!$A$2:$A$26,MATCH($C715,'Shultis Faw'!$A$2:$A$26,1)+1)-INDEX('Shultis Faw'!$A$2:$A$26,MATCH($C715,'Shultis Faw'!$A$2:$A$26,1))),$C715*'Shultis Faw'!$B$2/'Shultis Faw'!$A$2)</f>
        <v>-0.15303225000000004</v>
      </c>
      <c r="L715" s="83">
        <f>_xlfn.IFNA(INDEX('Shultis Faw'!$E$2:$E$26,MATCH($C715,'Shultis Faw'!$A$2:$A$26,1))+($C715-INDEX('Shultis Faw'!$A$2:$A$26,MATCH($C715,'Shultis Faw'!$A$2:$A$26,1)))*(INDEX('Shultis Faw'!$E$2:$E$26,MATCH($C715,'Shultis Faw'!$A$2:$A$26,1)+1)-INDEX('Shultis Faw'!$E$2:$E$26,MATCH($C715,'Shultis Faw'!$A$2:$A$26,1)))/(INDEX('Shultis Faw'!$A$2:$A$26,MATCH($C715,'Shultis Faw'!$A$2:$A$26,1)+1)-INDEX('Shultis Faw'!$A$2:$A$26,MATCH($C715,'Shultis Faw'!$A$2:$A$26,1))),$C715*'Shultis Faw'!$E$2/'Shultis Faw'!$A$2)</f>
        <v>6.9551762500000003E-2</v>
      </c>
      <c r="M715" s="83">
        <f>_xlfn.IFNA(INDEX('Shultis Faw'!$F$2:$F$26,MATCH($C715,'Shultis Faw'!$A$2:$A$26,1))+($C715-INDEX('Shultis Faw'!$A$2:$A$26,MATCH($C715,'Shultis Faw'!$A$2:$A$26,1)))*(INDEX('Shultis Faw'!$F$2:$F$26,MATCH($C715,'Shultis Faw'!$A$2:$A$26,1)+1)-INDEX('Shultis Faw'!$F$2:$F$26,MATCH($C715,'Shultis Faw'!$A$2:$A$26,1)))/(INDEX('Shultis Faw'!$A$2:$A$26,MATCH($C715,'Shultis Faw'!$A$2:$A$26,1)+1)-INDEX('Shultis Faw'!$A$2:$A$26,MATCH($C715,'Shultis Faw'!$A$2:$A$26,1))),$C715*'Shultis Faw'!$F$2/'Shultis Faw'!$A$2)</f>
        <v>13.659308750000001</v>
      </c>
      <c r="N715" s="83">
        <f>J715*(H715*'Externe blootstelling'!$D$23/2)^K715+L715*(TANH(((H715*'Externe blootstelling'!$D$23)/(2*M715))-2)-TANH(-2))/(1-TANH(-2))</f>
        <v>1.6534690062196336</v>
      </c>
      <c r="O715" s="83">
        <f>IF(N715=1,1+(I715-1)*H715*'Externe blootstelling'!$D$23/2,1+(I715-1)*(N715^(H715*'Externe blootstelling'!$D$23/2)-1)/(N715-1))</f>
        <v>20.898199270792812</v>
      </c>
      <c r="P715" s="67">
        <f>G715*EXP(-H715*'Externe blootstelling'!$D$23/2)*O715</f>
        <v>6.1263249247113282E-3</v>
      </c>
      <c r="Q715" s="68"/>
    </row>
    <row r="716" spans="1:17" x14ac:dyDescent="0.2">
      <c r="A716" s="217"/>
      <c r="B716" s="64" t="s">
        <v>102</v>
      </c>
      <c r="C716" s="66">
        <v>8.2603300000000004E-2</v>
      </c>
      <c r="D716" s="66">
        <f t="shared" si="46"/>
        <v>1.3216528E-14</v>
      </c>
      <c r="E716" s="66">
        <v>4.1700000000000001E-3</v>
      </c>
      <c r="F716" s="66">
        <f>_xlfn.IFNA(INDEX('hp (pSv cm2)'!$B$2:$B$52,MATCH($C716,'hp (pSv cm2)'!$A$2:$A$52,1))+($C716-INDEX('hp (pSv cm2)'!$A$2:$A$52,MATCH($C716,'hp (pSv cm2)'!$A$2:$A$52,1)))*(INDEX('hp (pSv cm2)'!$B$2:$B$52,MATCH($C716,'hp (pSv cm2)'!$A$2:$A$52,1)+1)-INDEX('hp (pSv cm2)'!$B$2:$B$52,MATCH($C716,'hp (pSv cm2)'!$A$2:$A$52,1)))/(INDEX('hp (pSv cm2)'!$A$2:$A$52,MATCH($C716,'hp (pSv cm2)'!$A$2:$A$52,1)+1)-INDEX('hp (pSv cm2)'!$A$2:$A$52,MATCH($C716,'hp (pSv cm2)'!$A$2:$A$52,1))),$C716*'hp (pSv cm2)'!$B$2/'hp (pSv cm2)'!$A$2)</f>
        <v>0.45276237499999999</v>
      </c>
      <c r="G716" s="67">
        <f t="shared" si="47"/>
        <v>1.88801910375E-3</v>
      </c>
      <c r="H716" s="83">
        <f>_xlfn.IFNA(0.997*(INDEX('Mass attenuation coefficients'!$B$2:$B$37,MATCH($C716,'Mass attenuation coefficients'!$A$2:$A$37,1))+($C716-INDEX('Mass attenuation coefficients'!$A$2:$A$37,MATCH($C716,'Mass attenuation coefficients'!$A$2:$A$37,1)))*(INDEX('Mass attenuation coefficients'!$B$2:$B$37,MATCH($C716,'Mass attenuation coefficients'!$A$2:$A$37,1)+1)-INDEX('Mass attenuation coefficients'!$B$2:$B$37,MATCH($C716,'Mass attenuation coefficients'!$A$2:$A$37,1)))/(INDEX('Mass attenuation coefficients'!$A$2:$A$37,MATCH($C716,'Mass attenuation coefficients'!$A$2:$A$37,1)+1)-INDEX('Mass attenuation coefficients'!$A$2:$A$37,MATCH($C716,'Mass attenuation coefficients'!$A$2:$A$37,1)))),0.997*$C716*'Mass attenuation coefficients'!$B$2/'Mass attenuation coefficients'!$A$2)</f>
        <v>0.181461831435</v>
      </c>
      <c r="I716" s="83">
        <f>_xlfn.IFNA(INDEX('Shultis Faw'!$C$2:$C$26,MATCH($C716,'Shultis Faw'!$A$2:$A$26,1))+($C716-INDEX('Shultis Faw'!$A$2:$A$26,MATCH($C716,'Shultis Faw'!$A$2:$A$26,1)))*(INDEX('Shultis Faw'!$C$2:$C$26,MATCH($C716,'Shultis Faw'!$A$2:$A$26,1)+1)-INDEX('Shultis Faw'!$C$2:$C$26,MATCH($C716,'Shultis Faw'!$A$2:$A$26,1)))/(INDEX('Shultis Faw'!$A$2:$A$26,MATCH($C716,'Shultis Faw'!$A$2:$A$26,1)+1)-INDEX('Shultis Faw'!$A$2:$A$26,MATCH($C716,'Shultis Faw'!$A$2:$A$26,1))),$C716*'Shultis Faw'!$C$2/'Shultis Faw'!$A$2)</f>
        <v>5.0074546600000005</v>
      </c>
      <c r="J716" s="83">
        <f>_xlfn.IFNA(INDEX('Shultis Faw'!$D$2:$D$26,MATCH($C716,'Shultis Faw'!$A$2:$A$26,1))+($C716-INDEX('Shultis Faw'!$A$2:$A$26,MATCH($C716,'Shultis Faw'!$A$2:$A$26,1)))*(INDEX('Shultis Faw'!$D$2:$D$26,MATCH($C716,'Shultis Faw'!$A$2:$A$26,1)+1)-INDEX('Shultis Faw'!$D$2:$D$26,MATCH($C716,'Shultis Faw'!$A$2:$A$26,1)))/(INDEX('Shultis Faw'!$A$2:$A$26,MATCH($C716,'Shultis Faw'!$A$2:$A$26,1)+1)-INDEX('Shultis Faw'!$A$2:$A$26,MATCH($C716,'Shultis Faw'!$A$2:$A$26,1))),$C716*'Shultis Faw'!$D$2/'Shultis Faw'!$A$2)</f>
        <v>2.0800867300000001</v>
      </c>
      <c r="K716" s="83">
        <f>_xlfn.IFNA(INDEX('Shultis Faw'!$B$2:$B$26,MATCH($C716,'Shultis Faw'!$A$2:$A$26,1))+($C716-INDEX('Shultis Faw'!$A$2:$A$26,MATCH($C716,'Shultis Faw'!$A$2:$A$26,1)))*(INDEX('Shultis Faw'!$B$2:$B$26,MATCH($C716,'Shultis Faw'!$A$2:$A$26,1)+1)-INDEX('Shultis Faw'!$B$2:$B$26,MATCH($C716,'Shultis Faw'!$A$2:$A$26,1)))/(INDEX('Shultis Faw'!$A$2:$A$26,MATCH($C716,'Shultis Faw'!$A$2:$A$26,1)+1)-INDEX('Shultis Faw'!$A$2:$A$26,MATCH($C716,'Shultis Faw'!$A$2:$A$26,1))),$C716*'Shultis Faw'!$B$2/'Shultis Faw'!$A$2)</f>
        <v>-0.17034297000000001</v>
      </c>
      <c r="L716" s="83">
        <f>_xlfn.IFNA(INDEX('Shultis Faw'!$E$2:$E$26,MATCH($C716,'Shultis Faw'!$A$2:$A$26,1))+($C716-INDEX('Shultis Faw'!$A$2:$A$26,MATCH($C716,'Shultis Faw'!$A$2:$A$26,1)))*(INDEX('Shultis Faw'!$E$2:$E$26,MATCH($C716,'Shultis Faw'!$A$2:$A$26,1)+1)-INDEX('Shultis Faw'!$E$2:$E$26,MATCH($C716,'Shultis Faw'!$A$2:$A$26,1)))/(INDEX('Shultis Faw'!$A$2:$A$26,MATCH($C716,'Shultis Faw'!$A$2:$A$26,1)+1)-INDEX('Shultis Faw'!$A$2:$A$26,MATCH($C716,'Shultis Faw'!$A$2:$A$26,1))),$C716*'Shultis Faw'!$E$2/'Shultis Faw'!$A$2)</f>
        <v>7.7728924000000005E-2</v>
      </c>
      <c r="M716" s="83">
        <f>_xlfn.IFNA(INDEX('Shultis Faw'!$F$2:$F$26,MATCH($C716,'Shultis Faw'!$A$2:$A$26,1))+($C716-INDEX('Shultis Faw'!$A$2:$A$26,MATCH($C716,'Shultis Faw'!$A$2:$A$26,1)))*(INDEX('Shultis Faw'!$F$2:$F$26,MATCH($C716,'Shultis Faw'!$A$2:$A$26,1)+1)-INDEX('Shultis Faw'!$F$2:$F$26,MATCH($C716,'Shultis Faw'!$A$2:$A$26,1)))/(INDEX('Shultis Faw'!$A$2:$A$26,MATCH($C716,'Shultis Faw'!$A$2:$A$26,1)+1)-INDEX('Shultis Faw'!$A$2:$A$26,MATCH($C716,'Shultis Faw'!$A$2:$A$26,1))),$C716*'Shultis Faw'!$F$2/'Shultis Faw'!$A$2)</f>
        <v>13.6257439</v>
      </c>
      <c r="N716" s="83">
        <f>J716*(H716*'Externe blootstelling'!$D$23/2)^K716+L716*(TANH(((H716*'Externe blootstelling'!$D$23)/(2*M716))-2)-TANH(-2))/(1-TANH(-2))</f>
        <v>1.7545743470912629</v>
      </c>
      <c r="O716" s="83">
        <f>IF(N716=1,1+(I716-1)*H716*'Externe blootstelling'!$D$23/2,1+(I716-1)*(N716^(H716*'Externe blootstelling'!$D$23/2)-1)/(N716-1))</f>
        <v>20.224027456870775</v>
      </c>
      <c r="P716" s="67">
        <f>G716*EXP(-H716*'Externe blootstelling'!$D$23/2)*O716</f>
        <v>2.5104752811554174E-3</v>
      </c>
      <c r="Q716" s="68"/>
    </row>
    <row r="717" spans="1:17" x14ac:dyDescent="0.2">
      <c r="A717" s="217"/>
      <c r="B717" s="64" t="s">
        <v>102</v>
      </c>
      <c r="C717" s="66">
        <v>8.5138699999999998E-2</v>
      </c>
      <c r="D717" s="66">
        <f t="shared" si="46"/>
        <v>1.3622191999999999E-14</v>
      </c>
      <c r="E717" s="66">
        <v>1.24E-3</v>
      </c>
      <c r="F717" s="66">
        <f>_xlfn.IFNA(INDEX('hp (pSv cm2)'!$B$2:$B$52,MATCH($C717,'hp (pSv cm2)'!$A$2:$A$52,1))+($C717-INDEX('hp (pSv cm2)'!$A$2:$A$52,MATCH($C717,'hp (pSv cm2)'!$A$2:$A$52,1)))*(INDEX('hp (pSv cm2)'!$B$2:$B$52,MATCH($C717,'hp (pSv cm2)'!$A$2:$A$52,1)+1)-INDEX('hp (pSv cm2)'!$B$2:$B$52,MATCH($C717,'hp (pSv cm2)'!$A$2:$A$52,1)))/(INDEX('hp (pSv cm2)'!$A$2:$A$52,MATCH($C717,'hp (pSv cm2)'!$A$2:$A$52,1)+1)-INDEX('hp (pSv cm2)'!$A$2:$A$52,MATCH($C717,'hp (pSv cm2)'!$A$2:$A$52,1))),$C717*'hp (pSv cm2)'!$B$2/'hp (pSv cm2)'!$A$2)</f>
        <v>0.46227012499999998</v>
      </c>
      <c r="G717" s="67">
        <f t="shared" si="47"/>
        <v>5.7321495499999993E-4</v>
      </c>
      <c r="H717" s="83">
        <f>_xlfn.IFNA(0.997*(INDEX('Mass attenuation coefficients'!$B$2:$B$37,MATCH($C717,'Mass attenuation coefficients'!$A$2:$A$37,1))+($C717-INDEX('Mass attenuation coefficients'!$A$2:$A$37,MATCH($C717,'Mass attenuation coefficients'!$A$2:$A$37,1)))*(INDEX('Mass attenuation coefficients'!$B$2:$B$37,MATCH($C717,'Mass attenuation coefficients'!$A$2:$A$37,1)+1)-INDEX('Mass attenuation coefficients'!$B$2:$B$37,MATCH($C717,'Mass attenuation coefficients'!$A$2:$A$37,1)))/(INDEX('Mass attenuation coefficients'!$A$2:$A$37,MATCH($C717,'Mass attenuation coefficients'!$A$2:$A$37,1)+1)-INDEX('Mass attenuation coefficients'!$A$2:$A$37,MATCH($C717,'Mass attenuation coefficients'!$A$2:$A$37,1)))),0.997*$C717*'Mass attenuation coefficients'!$B$2/'Mass attenuation coefficients'!$A$2)</f>
        <v>0.179818765465</v>
      </c>
      <c r="I717" s="83">
        <f>_xlfn.IFNA(INDEX('Shultis Faw'!$C$2:$C$26,MATCH($C717,'Shultis Faw'!$A$2:$A$26,1))+($C717-INDEX('Shultis Faw'!$A$2:$A$26,MATCH($C717,'Shultis Faw'!$A$2:$A$26,1)))*(INDEX('Shultis Faw'!$C$2:$C$26,MATCH($C717,'Shultis Faw'!$A$2:$A$26,1)+1)-INDEX('Shultis Faw'!$C$2:$C$26,MATCH($C717,'Shultis Faw'!$A$2:$A$26,1)))/(INDEX('Shultis Faw'!$A$2:$A$26,MATCH($C717,'Shultis Faw'!$A$2:$A$26,1)+1)-INDEX('Shultis Faw'!$A$2:$A$26,MATCH($C717,'Shultis Faw'!$A$2:$A$26,1))),$C717*'Shultis Faw'!$C$2/'Shultis Faw'!$A$2)</f>
        <v>4.9572537400000005</v>
      </c>
      <c r="J717" s="83">
        <f>_xlfn.IFNA(INDEX('Shultis Faw'!$D$2:$D$26,MATCH($C717,'Shultis Faw'!$A$2:$A$26,1))+($C717-INDEX('Shultis Faw'!$A$2:$A$26,MATCH($C717,'Shultis Faw'!$A$2:$A$26,1)))*(INDEX('Shultis Faw'!$D$2:$D$26,MATCH($C717,'Shultis Faw'!$A$2:$A$26,1)+1)-INDEX('Shultis Faw'!$D$2:$D$26,MATCH($C717,'Shultis Faw'!$A$2:$A$26,1)))/(INDEX('Shultis Faw'!$A$2:$A$26,MATCH($C717,'Shultis Faw'!$A$2:$A$26,1)+1)-INDEX('Shultis Faw'!$A$2:$A$26,MATCH($C717,'Shultis Faw'!$A$2:$A$26,1))),$C717*'Shultis Faw'!$D$2/'Shultis Faw'!$A$2)</f>
        <v>2.1006234699999999</v>
      </c>
      <c r="K717" s="83">
        <f>_xlfn.IFNA(INDEX('Shultis Faw'!$B$2:$B$26,MATCH($C717,'Shultis Faw'!$A$2:$A$26,1))+($C717-INDEX('Shultis Faw'!$A$2:$A$26,MATCH($C717,'Shultis Faw'!$A$2:$A$26,1)))*(INDEX('Shultis Faw'!$B$2:$B$26,MATCH($C717,'Shultis Faw'!$A$2:$A$26,1)+1)-INDEX('Shultis Faw'!$B$2:$B$26,MATCH($C717,'Shultis Faw'!$A$2:$A$26,1)))/(INDEX('Shultis Faw'!$A$2:$A$26,MATCH($C717,'Shultis Faw'!$A$2:$A$26,1)+1)-INDEX('Shultis Faw'!$A$2:$A$26,MATCH($C717,'Shultis Faw'!$A$2:$A$26,1))),$C717*'Shultis Faw'!$B$2/'Shultis Faw'!$A$2)</f>
        <v>-0.17262483000000001</v>
      </c>
      <c r="L717" s="83">
        <f>_xlfn.IFNA(INDEX('Shultis Faw'!$E$2:$E$26,MATCH($C717,'Shultis Faw'!$A$2:$A$26,1))+($C717-INDEX('Shultis Faw'!$A$2:$A$26,MATCH($C717,'Shultis Faw'!$A$2:$A$26,1)))*(INDEX('Shultis Faw'!$E$2:$E$26,MATCH($C717,'Shultis Faw'!$A$2:$A$26,1)+1)-INDEX('Shultis Faw'!$E$2:$E$26,MATCH($C717,'Shultis Faw'!$A$2:$A$26,1)))/(INDEX('Shultis Faw'!$A$2:$A$26,MATCH($C717,'Shultis Faw'!$A$2:$A$26,1)+1)-INDEX('Shultis Faw'!$A$2:$A$26,MATCH($C717,'Shultis Faw'!$A$2:$A$26,1))),$C717*'Shultis Faw'!$E$2/'Shultis Faw'!$A$2)</f>
        <v>7.8438835999999998E-2</v>
      </c>
      <c r="M717" s="83">
        <f>_xlfn.IFNA(INDEX('Shultis Faw'!$F$2:$F$26,MATCH($C717,'Shultis Faw'!$A$2:$A$26,1))+($C717-INDEX('Shultis Faw'!$A$2:$A$26,MATCH($C717,'Shultis Faw'!$A$2:$A$26,1)))*(INDEX('Shultis Faw'!$F$2:$F$26,MATCH($C717,'Shultis Faw'!$A$2:$A$26,1)+1)-INDEX('Shultis Faw'!$F$2:$F$26,MATCH($C717,'Shultis Faw'!$A$2:$A$26,1)))/(INDEX('Shultis Faw'!$A$2:$A$26,MATCH($C717,'Shultis Faw'!$A$2:$A$26,1)+1)-INDEX('Shultis Faw'!$A$2:$A$26,MATCH($C717,'Shultis Faw'!$A$2:$A$26,1))),$C717*'Shultis Faw'!$F$2/'Shultis Faw'!$A$2)</f>
        <v>13.582642099999999</v>
      </c>
      <c r="N717" s="83">
        <f>J717*(H717*'Externe blootstelling'!$D$23/2)^K717+L717*(TANH(((H717*'Externe blootstelling'!$D$23)/(2*M717))-2)-TANH(-2))/(1-TANH(-2))</f>
        <v>1.7706264003718932</v>
      </c>
      <c r="O717" s="83">
        <f>IF(N717=1,1+(I717-1)*H717*'Externe blootstelling'!$D$23/2,1+(I717-1)*(N717^(H717*'Externe blootstelling'!$D$23/2)-1)/(N717-1))</f>
        <v>19.843176580663684</v>
      </c>
      <c r="P717" s="67">
        <f>G717*EXP(-H717*'Externe blootstelling'!$D$23/2)*O717</f>
        <v>7.6650368277279639E-4</v>
      </c>
      <c r="Q717" s="68"/>
    </row>
    <row r="718" spans="1:17" x14ac:dyDescent="0.2">
      <c r="A718" s="218"/>
      <c r="B718" s="64" t="s">
        <v>104</v>
      </c>
      <c r="C718" s="66">
        <v>0.35102999999999995</v>
      </c>
      <c r="D718" s="66">
        <f t="shared" si="46"/>
        <v>5.6164799999999985E-14</v>
      </c>
      <c r="E718" s="66">
        <v>0.13</v>
      </c>
      <c r="F718" s="66">
        <f>_xlfn.IFNA(INDEX('hp (pSv cm2)'!$B$2:$B$52,MATCH($C718,'hp (pSv cm2)'!$A$2:$A$52,1))+($C718-INDEX('hp (pSv cm2)'!$A$2:$A$52,MATCH($C718,'hp (pSv cm2)'!$A$2:$A$52,1)))*(INDEX('hp (pSv cm2)'!$B$2:$B$52,MATCH($C718,'hp (pSv cm2)'!$A$2:$A$52,1)+1)-INDEX('hp (pSv cm2)'!$B$2:$B$52,MATCH($C718,'hp (pSv cm2)'!$A$2:$A$52,1)))/(INDEX('hp (pSv cm2)'!$A$2:$A$52,MATCH($C718,'hp (pSv cm2)'!$A$2:$A$52,1)+1)-INDEX('hp (pSv cm2)'!$A$2:$A$52,MATCH($C718,'hp (pSv cm2)'!$A$2:$A$52,1))),$C718*'hp (pSv cm2)'!$B$2/'hp (pSv cm2)'!$A$2)</f>
        <v>1.7600469999999997</v>
      </c>
      <c r="G718" s="67">
        <f t="shared" si="47"/>
        <v>0.22880610999999998</v>
      </c>
      <c r="H718" s="83">
        <f>_xlfn.IFNA(0.997*(INDEX('Mass attenuation coefficients'!$B$2:$B$37,MATCH($C718,'Mass attenuation coefficients'!$A$2:$A$37,1))+($C718-INDEX('Mass attenuation coefficients'!$A$2:$A$37,MATCH($C718,'Mass attenuation coefficients'!$A$2:$A$37,1)))*(INDEX('Mass attenuation coefficients'!$B$2:$B$37,MATCH($C718,'Mass attenuation coefficients'!$A$2:$A$37,1)+1)-INDEX('Mass attenuation coefficients'!$B$2:$B$37,MATCH($C718,'Mass attenuation coefficients'!$A$2:$A$37,1)))/(INDEX('Mass attenuation coefficients'!$A$2:$A$37,MATCH($C718,'Mass attenuation coefficients'!$A$2:$A$37,1)+1)-INDEX('Mass attenuation coefficients'!$A$2:$A$37,MATCH($C718,'Mass attenuation coefficients'!$A$2:$A$37,1)))),0.997*$C718*'Mass attenuation coefficients'!$B$2/'Mass attenuation coefficients'!$A$2)</f>
        <v>0.11188458625000001</v>
      </c>
      <c r="I718" s="83">
        <f>_xlfn.IFNA(INDEX('Shultis Faw'!$C$2:$C$26,MATCH($C718,'Shultis Faw'!$A$2:$A$26,1))+($C718-INDEX('Shultis Faw'!$A$2:$A$26,MATCH($C718,'Shultis Faw'!$A$2:$A$26,1)))*(INDEX('Shultis Faw'!$C$2:$C$26,MATCH($C718,'Shultis Faw'!$A$2:$A$26,1)+1)-INDEX('Shultis Faw'!$C$2:$C$26,MATCH($C718,'Shultis Faw'!$A$2:$A$26,1)))/(INDEX('Shultis Faw'!$A$2:$A$26,MATCH($C718,'Shultis Faw'!$A$2:$A$26,1)+1)-INDEX('Shultis Faw'!$A$2:$A$26,MATCH($C718,'Shultis Faw'!$A$2:$A$26,1))),$C718*'Shultis Faw'!$C$2/'Shultis Faw'!$A$2)</f>
        <v>2.7873220000000001</v>
      </c>
      <c r="J718" s="83">
        <f>_xlfn.IFNA(INDEX('Shultis Faw'!$D$2:$D$26,MATCH($C718,'Shultis Faw'!$A$2:$A$26,1))+($C718-INDEX('Shultis Faw'!$A$2:$A$26,MATCH($C718,'Shultis Faw'!$A$2:$A$26,1)))*(INDEX('Shultis Faw'!$D$2:$D$26,MATCH($C718,'Shultis Faw'!$A$2:$A$26,1)+1)-INDEX('Shultis Faw'!$D$2:$D$26,MATCH($C718,'Shultis Faw'!$A$2:$A$26,1)))/(INDEX('Shultis Faw'!$A$2:$A$26,MATCH($C718,'Shultis Faw'!$A$2:$A$26,1)+1)-INDEX('Shultis Faw'!$A$2:$A$26,MATCH($C718,'Shultis Faw'!$A$2:$A$26,1))),$C718*'Shultis Faw'!$D$2/'Shultis Faw'!$A$2)</f>
        <v>1.950558</v>
      </c>
      <c r="K718" s="83">
        <f>_xlfn.IFNA(INDEX('Shultis Faw'!$B$2:$B$26,MATCH($C718,'Shultis Faw'!$A$2:$A$26,1))+($C718-INDEX('Shultis Faw'!$A$2:$A$26,MATCH($C718,'Shultis Faw'!$A$2:$A$26,1)))*(INDEX('Shultis Faw'!$B$2:$B$26,MATCH($C718,'Shultis Faw'!$A$2:$A$26,1)+1)-INDEX('Shultis Faw'!$B$2:$B$26,MATCH($C718,'Shultis Faw'!$A$2:$A$26,1)))/(INDEX('Shultis Faw'!$A$2:$A$26,MATCH($C718,'Shultis Faw'!$A$2:$A$26,1)+1)-INDEX('Shultis Faw'!$A$2:$A$26,MATCH($C718,'Shultis Faw'!$A$2:$A$26,1))),$C718*'Shultis Faw'!$B$2/'Shultis Faw'!$A$2)</f>
        <v>-0.1563455</v>
      </c>
      <c r="L718" s="83">
        <f>_xlfn.IFNA(INDEX('Shultis Faw'!$E$2:$E$26,MATCH($C718,'Shultis Faw'!$A$2:$A$26,1))+($C718-INDEX('Shultis Faw'!$A$2:$A$26,MATCH($C718,'Shultis Faw'!$A$2:$A$26,1)))*(INDEX('Shultis Faw'!$E$2:$E$26,MATCH($C718,'Shultis Faw'!$A$2:$A$26,1)+1)-INDEX('Shultis Faw'!$E$2:$E$26,MATCH($C718,'Shultis Faw'!$A$2:$A$26,1)))/(INDEX('Shultis Faw'!$A$2:$A$26,MATCH($C718,'Shultis Faw'!$A$2:$A$26,1)+1)-INDEX('Shultis Faw'!$A$2:$A$26,MATCH($C718,'Shultis Faw'!$A$2:$A$26,1))),$C718*'Shultis Faw'!$E$2/'Shultis Faw'!$A$2)</f>
        <v>6.2438199999999999E-2</v>
      </c>
      <c r="M718" s="83">
        <f>_xlfn.IFNA(INDEX('Shultis Faw'!$F$2:$F$26,MATCH($C718,'Shultis Faw'!$A$2:$A$26,1))+($C718-INDEX('Shultis Faw'!$A$2:$A$26,MATCH($C718,'Shultis Faw'!$A$2:$A$26,1)))*(INDEX('Shultis Faw'!$F$2:$F$26,MATCH($C718,'Shultis Faw'!$A$2:$A$26,1)+1)-INDEX('Shultis Faw'!$F$2:$F$26,MATCH($C718,'Shultis Faw'!$A$2:$A$26,1)))/(INDEX('Shultis Faw'!$A$2:$A$26,MATCH($C718,'Shultis Faw'!$A$2:$A$26,1)+1)-INDEX('Shultis Faw'!$A$2:$A$26,MATCH($C718,'Shultis Faw'!$A$2:$A$26,1))),$C718*'Shultis Faw'!$F$2/'Shultis Faw'!$A$2)</f>
        <v>14.225309000000001</v>
      </c>
      <c r="N718" s="83">
        <f>J718*(H718*'Externe blootstelling'!$D$23/2)^K718+L718*(TANH(((H718*'Externe blootstelling'!$D$23)/(2*M718))-2)-TANH(-2))/(1-TANH(-2))</f>
        <v>1.7991798718782659</v>
      </c>
      <c r="O718" s="83">
        <f>IF(N718=1,1+(I718-1)*H718*'Externe blootstelling'!$D$23/2,1+(I718-1)*(N718^(H718*'Externe blootstelling'!$D$23/2)-1)/(N718-1))</f>
        <v>4.7565230510660035</v>
      </c>
      <c r="P718" s="67">
        <f>G718*EXP(-H718*'Externe blootstelling'!$D$23/2)*O718</f>
        <v>0.20318626498082901</v>
      </c>
      <c r="Q718" s="68"/>
    </row>
    <row r="719" spans="1:17" x14ac:dyDescent="0.2">
      <c r="A719" s="216" t="s">
        <v>156</v>
      </c>
      <c r="B719" s="64" t="s">
        <v>102</v>
      </c>
      <c r="C719" s="66">
        <v>1.2201449999999999E-2</v>
      </c>
      <c r="D719" s="66">
        <f t="shared" si="46"/>
        <v>1.9522319999999998E-15</v>
      </c>
      <c r="E719" s="66">
        <v>2.0100000000000001E-5</v>
      </c>
      <c r="F719" s="66">
        <f>_xlfn.IFNA(INDEX('hp (pSv cm2)'!$B$2:$B$52,MATCH($C719,'hp (pSv cm2)'!$A$2:$A$52,1))+($C719-INDEX('hp (pSv cm2)'!$A$2:$A$52,MATCH($C719,'hp (pSv cm2)'!$A$2:$A$52,1)))*(INDEX('hp (pSv cm2)'!$B$2:$B$52,MATCH($C719,'hp (pSv cm2)'!$A$2:$A$52,1)+1)-INDEX('hp (pSv cm2)'!$B$2:$B$52,MATCH($C719,'hp (pSv cm2)'!$A$2:$A$52,1)))/(INDEX('hp (pSv cm2)'!$A$2:$A$52,MATCH($C719,'hp (pSv cm2)'!$A$2:$A$52,1)+1)-INDEX('hp (pSv cm2)'!$A$2:$A$52,MATCH($C719,'hp (pSv cm2)'!$A$2:$A$52,1))),$C719*'hp (pSv cm2)'!$B$2/'hp (pSv cm2)'!$A$2)</f>
        <v>0.10842464999999998</v>
      </c>
      <c r="G719" s="67">
        <f t="shared" ref="G719:G726" si="48">F719*E719</f>
        <v>2.1793354649999998E-6</v>
      </c>
      <c r="H719" s="83">
        <f>_xlfn.IFNA(0.997*(INDEX('Mass attenuation coefficients'!$B$2:$B$37,MATCH($C719,'Mass attenuation coefficients'!$A$2:$A$37,1))+($C719-INDEX('Mass attenuation coefficients'!$A$2:$A$37,MATCH($C719,'Mass attenuation coefficients'!$A$2:$A$37,1)))*(INDEX('Mass attenuation coefficients'!$B$2:$B$37,MATCH($C719,'Mass attenuation coefficients'!$A$2:$A$37,1)+1)-INDEX('Mass attenuation coefficients'!$B$2:$B$37,MATCH($C719,'Mass attenuation coefficients'!$A$2:$A$37,1)))/(INDEX('Mass attenuation coefficients'!$A$2:$A$37,MATCH($C719,'Mass attenuation coefficients'!$A$2:$A$37,1)+1)-INDEX('Mass attenuation coefficients'!$A$2:$A$37,MATCH($C719,'Mass attenuation coefficients'!$A$2:$A$37,1)))),0.997*$C719*'Mass attenuation coefficients'!$B$2/'Mass attenuation coefficients'!$A$2)</f>
        <v>3.7081418607200001</v>
      </c>
      <c r="I719" s="83">
        <f>_xlfn.IFNA(INDEX('Shultis Faw'!$C$2:$C$26,MATCH($C719,'Shultis Faw'!$A$2:$A$26,1))+($C719-INDEX('Shultis Faw'!$A$2:$A$26,MATCH($C719,'Shultis Faw'!$A$2:$A$26,1)))*(INDEX('Shultis Faw'!$C$2:$C$26,MATCH($C719,'Shultis Faw'!$A$2:$A$26,1)+1)-INDEX('Shultis Faw'!$C$2:$C$26,MATCH($C719,'Shultis Faw'!$A$2:$A$26,1)))/(INDEX('Shultis Faw'!$A$2:$A$26,MATCH($C719,'Shultis Faw'!$A$2:$A$26,1)+1)-INDEX('Shultis Faw'!$A$2:$A$26,MATCH($C719,'Shultis Faw'!$A$2:$A$26,1))),$C719*'Shultis Faw'!$C$2/'Shultis Faw'!$A$2)</f>
        <v>0.96147425999999991</v>
      </c>
      <c r="J719" s="83">
        <f>_xlfn.IFNA(INDEX('Shultis Faw'!$D$2:$D$26,MATCH($C719,'Shultis Faw'!$A$2:$A$26,1))+($C719-INDEX('Shultis Faw'!$A$2:$A$26,MATCH($C719,'Shultis Faw'!$A$2:$A$26,1)))*(INDEX('Shultis Faw'!$D$2:$D$26,MATCH($C719,'Shultis Faw'!$A$2:$A$26,1)+1)-INDEX('Shultis Faw'!$D$2:$D$26,MATCH($C719,'Shultis Faw'!$A$2:$A$26,1)))/(INDEX('Shultis Faw'!$A$2:$A$26,MATCH($C719,'Shultis Faw'!$A$2:$A$26,1)+1)-INDEX('Shultis Faw'!$A$2:$A$26,MATCH($C719,'Shultis Faw'!$A$2:$A$26,1))),$C719*'Shultis Faw'!$D$2/'Shultis Faw'!$A$2)</f>
        <v>0.37661808999999996</v>
      </c>
      <c r="K719" s="83">
        <f>_xlfn.IFNA(INDEX('Shultis Faw'!$B$2:$B$26,MATCH($C719,'Shultis Faw'!$A$2:$A$26,1))+($C719-INDEX('Shultis Faw'!$A$2:$A$26,MATCH($C719,'Shultis Faw'!$A$2:$A$26,1)))*(INDEX('Shultis Faw'!$B$2:$B$26,MATCH($C719,'Shultis Faw'!$A$2:$A$26,1)+1)-INDEX('Shultis Faw'!$B$2:$B$26,MATCH($C719,'Shultis Faw'!$A$2:$A$26,1)))/(INDEX('Shultis Faw'!$A$2:$A$26,MATCH($C719,'Shultis Faw'!$A$2:$A$26,1)+1)-INDEX('Shultis Faw'!$A$2:$A$26,MATCH($C719,'Shultis Faw'!$A$2:$A$26,1))),$C719*'Shultis Faw'!$B$2/'Shultis Faw'!$A$2)</f>
        <v>0.13990996</v>
      </c>
      <c r="L719" s="83">
        <f>_xlfn.IFNA(INDEX('Shultis Faw'!$E$2:$E$26,MATCH($C719,'Shultis Faw'!$A$2:$A$26,1))+($C719-INDEX('Shultis Faw'!$A$2:$A$26,MATCH($C719,'Shultis Faw'!$A$2:$A$26,1)))*(INDEX('Shultis Faw'!$E$2:$E$26,MATCH($C719,'Shultis Faw'!$A$2:$A$26,1)+1)-INDEX('Shultis Faw'!$E$2:$E$26,MATCH($C719,'Shultis Faw'!$A$2:$A$26,1)))/(INDEX('Shultis Faw'!$A$2:$A$26,MATCH($C719,'Shultis Faw'!$A$2:$A$26,1)+1)-INDEX('Shultis Faw'!$A$2:$A$26,MATCH($C719,'Shultis Faw'!$A$2:$A$26,1))),$C719*'Shultis Faw'!$E$2/'Shultis Faw'!$A$2)</f>
        <v>-7.3859443999999996E-2</v>
      </c>
      <c r="M719" s="83">
        <f>_xlfn.IFNA(INDEX('Shultis Faw'!$F$2:$F$26,MATCH($C719,'Shultis Faw'!$A$2:$A$26,1))+($C719-INDEX('Shultis Faw'!$A$2:$A$26,MATCH($C719,'Shultis Faw'!$A$2:$A$26,1)))*(INDEX('Shultis Faw'!$F$2:$F$26,MATCH($C719,'Shultis Faw'!$A$2:$A$26,1)+1)-INDEX('Shultis Faw'!$F$2:$F$26,MATCH($C719,'Shultis Faw'!$A$2:$A$26,1)))/(INDEX('Shultis Faw'!$A$2:$A$26,MATCH($C719,'Shultis Faw'!$A$2:$A$26,1)+1)-INDEX('Shultis Faw'!$A$2:$A$26,MATCH($C719,'Shultis Faw'!$A$2:$A$26,1))),$C719*'Shultis Faw'!$F$2/'Shultis Faw'!$A$2)</f>
        <v>11.5751089</v>
      </c>
      <c r="N719" s="83">
        <f>J719*(H719*'Externe blootstelling'!$D$23/2)^K719+L719*(TANH(((H719*'Externe blootstelling'!$D$23)/(2*M719))-2)-TANH(-2))/(1-TANH(-2))</f>
        <v>0.58722791556449105</v>
      </c>
      <c r="O719" s="83">
        <f>IF(N719=1,1+(I719-1)*H719*'Externe blootstelling'!$D$23/2,1+(I719-1)*(N719^(H719*'Externe blootstelling'!$D$23/2)-1)/(N719-1))</f>
        <v>0.90666582975764687</v>
      </c>
      <c r="P719" s="67">
        <f>G719*EXP(-H719*'Externe blootstelling'!$D$23/2)*O719</f>
        <v>1.3784407752805927E-30</v>
      </c>
      <c r="Q719" s="68"/>
    </row>
    <row r="720" spans="1:17" x14ac:dyDescent="0.2">
      <c r="A720" s="217"/>
      <c r="B720" s="64" t="s">
        <v>102</v>
      </c>
      <c r="C720" s="66">
        <v>7.2804900000000006E-2</v>
      </c>
      <c r="D720" s="66">
        <f t="shared" si="46"/>
        <v>1.1648784000000001E-14</v>
      </c>
      <c r="E720" s="66">
        <v>1.5399999999999998E-5</v>
      </c>
      <c r="F720" s="66">
        <f>_xlfn.IFNA(INDEX('hp (pSv cm2)'!$B$2:$B$52,MATCH($C720,'hp (pSv cm2)'!$A$2:$A$52,1))+($C720-INDEX('hp (pSv cm2)'!$A$2:$A$52,MATCH($C720,'hp (pSv cm2)'!$A$2:$A$52,1)))*(INDEX('hp (pSv cm2)'!$B$2:$B$52,MATCH($C720,'hp (pSv cm2)'!$A$2:$A$52,1)+1)-INDEX('hp (pSv cm2)'!$B$2:$B$52,MATCH($C720,'hp (pSv cm2)'!$A$2:$A$52,1)))/(INDEX('hp (pSv cm2)'!$A$2:$A$52,MATCH($C720,'hp (pSv cm2)'!$A$2:$A$52,1)+1)-INDEX('hp (pSv cm2)'!$A$2:$A$52,MATCH($C720,'hp (pSv cm2)'!$A$2:$A$52,1))),$C720*'hp (pSv cm2)'!$B$2/'hp (pSv cm2)'!$A$2)</f>
        <v>0.41997567999999996</v>
      </c>
      <c r="G720" s="67">
        <f t="shared" si="48"/>
        <v>6.4676254719999989E-6</v>
      </c>
      <c r="H720" s="83">
        <f>_xlfn.IFNA(0.997*(INDEX('Mass attenuation coefficients'!$B$2:$B$37,MATCH($C720,'Mass attenuation coefficients'!$A$2:$A$37,1))+($C720-INDEX('Mass attenuation coefficients'!$A$2:$A$37,MATCH($C720,'Mass attenuation coefficients'!$A$2:$A$37,1)))*(INDEX('Mass attenuation coefficients'!$B$2:$B$37,MATCH($C720,'Mass attenuation coefficients'!$A$2:$A$37,1)+1)-INDEX('Mass attenuation coefficients'!$B$2:$B$37,MATCH($C720,'Mass attenuation coefficients'!$A$2:$A$37,1)))/(INDEX('Mass attenuation coefficients'!$A$2:$A$37,MATCH($C720,'Mass attenuation coefficients'!$A$2:$A$37,1)+1)-INDEX('Mass attenuation coefficients'!$A$2:$A$37,MATCH($C720,'Mass attenuation coefficients'!$A$2:$A$37,1)))),0.997*$C720*'Mass attenuation coefficients'!$B$2/'Mass attenuation coefficients'!$A$2)</f>
        <v>0.191111501317</v>
      </c>
      <c r="I720" s="83">
        <f>_xlfn.IFNA(INDEX('Shultis Faw'!$C$2:$C$26,MATCH($C720,'Shultis Faw'!$A$2:$A$26,1))+($C720-INDEX('Shultis Faw'!$A$2:$A$26,MATCH($C720,'Shultis Faw'!$A$2:$A$26,1)))*(INDEX('Shultis Faw'!$C$2:$C$26,MATCH($C720,'Shultis Faw'!$A$2:$A$26,1)+1)-INDEX('Shultis Faw'!$C$2:$C$26,MATCH($C720,'Shultis Faw'!$A$2:$A$26,1)))/(INDEX('Shultis Faw'!$A$2:$A$26,MATCH($C720,'Shultis Faw'!$A$2:$A$26,1)+1)-INDEX('Shultis Faw'!$A$2:$A$26,MATCH($C720,'Shultis Faw'!$A$2:$A$26,1))),$C720*'Shultis Faw'!$C$2/'Shultis Faw'!$A$2)</f>
        <v>5.03165862</v>
      </c>
      <c r="J720" s="83">
        <f>_xlfn.IFNA(INDEX('Shultis Faw'!$D$2:$D$26,MATCH($C720,'Shultis Faw'!$A$2:$A$26,1))+($C720-INDEX('Shultis Faw'!$A$2:$A$26,MATCH($C720,'Shultis Faw'!$A$2:$A$26,1)))*(INDEX('Shultis Faw'!$D$2:$D$26,MATCH($C720,'Shultis Faw'!$A$2:$A$26,1)+1)-INDEX('Shultis Faw'!$D$2:$D$26,MATCH($C720,'Shultis Faw'!$A$2:$A$26,1)))/(INDEX('Shultis Faw'!$A$2:$A$26,MATCH($C720,'Shultis Faw'!$A$2:$A$26,1)+1)-INDEX('Shultis Faw'!$A$2:$A$26,MATCH($C720,'Shultis Faw'!$A$2:$A$26,1))),$C720*'Shultis Faw'!$D$2/'Shultis Faw'!$A$2)</f>
        <v>1.9406406050000002</v>
      </c>
      <c r="K720" s="83">
        <f>_xlfn.IFNA(INDEX('Shultis Faw'!$B$2:$B$26,MATCH($C720,'Shultis Faw'!$A$2:$A$26,1))+($C720-INDEX('Shultis Faw'!$A$2:$A$26,MATCH($C720,'Shultis Faw'!$A$2:$A$26,1)))*(INDEX('Shultis Faw'!$B$2:$B$26,MATCH($C720,'Shultis Faw'!$A$2:$A$26,1)+1)-INDEX('Shultis Faw'!$B$2:$B$26,MATCH($C720,'Shultis Faw'!$A$2:$A$26,1)))/(INDEX('Shultis Faw'!$A$2:$A$26,MATCH($C720,'Shultis Faw'!$A$2:$A$26,1)+1)-INDEX('Shultis Faw'!$A$2:$A$26,MATCH($C720,'Shultis Faw'!$A$2:$A$26,1))),$C720*'Shultis Faw'!$B$2/'Shultis Faw'!$A$2)</f>
        <v>-0.15289029000000001</v>
      </c>
      <c r="L720" s="83">
        <f>_xlfn.IFNA(INDEX('Shultis Faw'!$E$2:$E$26,MATCH($C720,'Shultis Faw'!$A$2:$A$26,1))+($C720-INDEX('Shultis Faw'!$A$2:$A$26,MATCH($C720,'Shultis Faw'!$A$2:$A$26,1)))*(INDEX('Shultis Faw'!$E$2:$E$26,MATCH($C720,'Shultis Faw'!$A$2:$A$26,1)+1)-INDEX('Shultis Faw'!$E$2:$E$26,MATCH($C720,'Shultis Faw'!$A$2:$A$26,1)))/(INDEX('Shultis Faw'!$A$2:$A$26,MATCH($C720,'Shultis Faw'!$A$2:$A$26,1)+1)-INDEX('Shultis Faw'!$A$2:$A$26,MATCH($C720,'Shultis Faw'!$A$2:$A$26,1))),$C720*'Shultis Faw'!$E$2/'Shultis Faw'!$A$2)</f>
        <v>6.9481120500000007E-2</v>
      </c>
      <c r="M720" s="83">
        <f>_xlfn.IFNA(INDEX('Shultis Faw'!$F$2:$F$26,MATCH($C720,'Shultis Faw'!$A$2:$A$26,1))+($C720-INDEX('Shultis Faw'!$A$2:$A$26,MATCH($C720,'Shultis Faw'!$A$2:$A$26,1)))*(INDEX('Shultis Faw'!$F$2:$F$26,MATCH($C720,'Shultis Faw'!$A$2:$A$26,1)+1)-INDEX('Shultis Faw'!$F$2:$F$26,MATCH($C720,'Shultis Faw'!$A$2:$A$26,1)))/(INDEX('Shultis Faw'!$A$2:$A$26,MATCH($C720,'Shultis Faw'!$A$2:$A$26,1)+1)-INDEX('Shultis Faw'!$A$2:$A$26,MATCH($C720,'Shultis Faw'!$A$2:$A$26,1))),$C720*'Shultis Faw'!$F$2/'Shultis Faw'!$A$2)</f>
        <v>13.659207350000001</v>
      </c>
      <c r="N720" s="83">
        <f>J720*(H720*'Externe blootstelling'!$D$23/2)^K720+L720*(TANH(((H720*'Externe blootstelling'!$D$23)/(2*M720))-2)-TANH(-2))/(1-TANH(-2))</f>
        <v>1.6526701058573368</v>
      </c>
      <c r="O720" s="83">
        <f>IF(N720=1,1+(I720-1)*H720*'Externe blootstelling'!$D$23/2,1+(I720-1)*(N720^(H720*'Externe blootstelling'!$D$23/2)-1)/(N720-1))</f>
        <v>20.899865550623343</v>
      </c>
      <c r="P720" s="67">
        <f>G720*EXP(-H720*'Externe blootstelling'!$D$23/2)*O720</f>
        <v>7.689680548420083E-6</v>
      </c>
      <c r="Q720" s="68"/>
    </row>
    <row r="721" spans="1:17" x14ac:dyDescent="0.2">
      <c r="A721" s="217"/>
      <c r="B721" s="64" t="s">
        <v>102</v>
      </c>
      <c r="C721" s="66">
        <v>7.4969999999999995E-2</v>
      </c>
      <c r="D721" s="66">
        <f t="shared" si="46"/>
        <v>1.1995199999999999E-14</v>
      </c>
      <c r="E721" s="66">
        <v>2.5799999999999997E-5</v>
      </c>
      <c r="F721" s="66">
        <f>_xlfn.IFNA(INDEX('hp (pSv cm2)'!$B$2:$B$52,MATCH($C721,'hp (pSv cm2)'!$A$2:$A$52,1))+($C721-INDEX('hp (pSv cm2)'!$A$2:$A$52,MATCH($C721,'hp (pSv cm2)'!$A$2:$A$52,1)))*(INDEX('hp (pSv cm2)'!$B$2:$B$52,MATCH($C721,'hp (pSv cm2)'!$A$2:$A$52,1)+1)-INDEX('hp (pSv cm2)'!$B$2:$B$52,MATCH($C721,'hp (pSv cm2)'!$A$2:$A$52,1)))/(INDEX('hp (pSv cm2)'!$A$2:$A$52,MATCH($C721,'hp (pSv cm2)'!$A$2:$A$52,1)+1)-INDEX('hp (pSv cm2)'!$A$2:$A$52,MATCH($C721,'hp (pSv cm2)'!$A$2:$A$52,1))),$C721*'hp (pSv cm2)'!$B$2/'hp (pSv cm2)'!$A$2)</f>
        <v>0.42690399999999995</v>
      </c>
      <c r="G721" s="67">
        <f t="shared" si="48"/>
        <v>1.1014123199999998E-5</v>
      </c>
      <c r="H721" s="83">
        <f>_xlfn.IFNA(0.997*(INDEX('Mass attenuation coefficients'!$B$2:$B$37,MATCH($C721,'Mass attenuation coefficients'!$A$2:$A$37,1))+($C721-INDEX('Mass attenuation coefficients'!$A$2:$A$37,MATCH($C721,'Mass attenuation coefficients'!$A$2:$A$37,1)))*(INDEX('Mass attenuation coefficients'!$B$2:$B$37,MATCH($C721,'Mass attenuation coefficients'!$A$2:$A$37,1)+1)-INDEX('Mass attenuation coefficients'!$B$2:$B$37,MATCH($C721,'Mass attenuation coefficients'!$A$2:$A$37,1)))/(INDEX('Mass attenuation coefficients'!$A$2:$A$37,MATCH($C721,'Mass attenuation coefficients'!$A$2:$A$37,1)+1)-INDEX('Mass attenuation coefficients'!$A$2:$A$37,MATCH($C721,'Mass attenuation coefficients'!$A$2:$A$37,1)))),0.997*$C721*'Mass attenuation coefficients'!$B$2/'Mass attenuation coefficients'!$A$2)</f>
        <v>0.18871545010000002</v>
      </c>
      <c r="I721" s="83">
        <f>_xlfn.IFNA(INDEX('Shultis Faw'!$C$2:$C$26,MATCH($C721,'Shultis Faw'!$A$2:$A$26,1))+($C721-INDEX('Shultis Faw'!$A$2:$A$26,MATCH($C721,'Shultis Faw'!$A$2:$A$26,1)))*(INDEX('Shultis Faw'!$C$2:$C$26,MATCH($C721,'Shultis Faw'!$A$2:$A$26,1)+1)-INDEX('Shultis Faw'!$C$2:$C$26,MATCH($C721,'Shultis Faw'!$A$2:$A$26,1)))/(INDEX('Shultis Faw'!$A$2:$A$26,MATCH($C721,'Shultis Faw'!$A$2:$A$26,1)+1)-INDEX('Shultis Faw'!$A$2:$A$26,MATCH($C721,'Shultis Faw'!$A$2:$A$26,1))),$C721*'Shultis Faw'!$C$2/'Shultis Faw'!$A$2)</f>
        <v>5.0398860000000001</v>
      </c>
      <c r="J721" s="83">
        <f>_xlfn.IFNA(INDEX('Shultis Faw'!$D$2:$D$26,MATCH($C721,'Shultis Faw'!$A$2:$A$26,1))+($C721-INDEX('Shultis Faw'!$A$2:$A$26,MATCH($C721,'Shultis Faw'!$A$2:$A$26,1)))*(INDEX('Shultis Faw'!$D$2:$D$26,MATCH($C721,'Shultis Faw'!$A$2:$A$26,1)+1)-INDEX('Shultis Faw'!$D$2:$D$26,MATCH($C721,'Shultis Faw'!$A$2:$A$26,1)))/(INDEX('Shultis Faw'!$A$2:$A$26,MATCH($C721,'Shultis Faw'!$A$2:$A$26,1)+1)-INDEX('Shultis Faw'!$A$2:$A$26,MATCH($C721,'Shultis Faw'!$A$2:$A$26,1))),$C721*'Shultis Faw'!$D$2/'Shultis Faw'!$A$2)</f>
        <v>1.9762565000000001</v>
      </c>
      <c r="K721" s="83">
        <f>_xlfn.IFNA(INDEX('Shultis Faw'!$B$2:$B$26,MATCH($C721,'Shultis Faw'!$A$2:$A$26,1))+($C721-INDEX('Shultis Faw'!$A$2:$A$26,MATCH($C721,'Shultis Faw'!$A$2:$A$26,1)))*(INDEX('Shultis Faw'!$B$2:$B$26,MATCH($C721,'Shultis Faw'!$A$2:$A$26,1)+1)-INDEX('Shultis Faw'!$B$2:$B$26,MATCH($C721,'Shultis Faw'!$A$2:$A$26,1)))/(INDEX('Shultis Faw'!$A$2:$A$26,MATCH($C721,'Shultis Faw'!$A$2:$A$26,1)+1)-INDEX('Shultis Faw'!$A$2:$A$26,MATCH($C721,'Shultis Faw'!$A$2:$A$26,1))),$C721*'Shultis Faw'!$B$2/'Shultis Faw'!$A$2)</f>
        <v>-0.15743699999999999</v>
      </c>
      <c r="L721" s="83">
        <f>_xlfn.IFNA(INDEX('Shultis Faw'!$E$2:$E$26,MATCH($C721,'Shultis Faw'!$A$2:$A$26,1))+($C721-INDEX('Shultis Faw'!$A$2:$A$26,MATCH($C721,'Shultis Faw'!$A$2:$A$26,1)))*(INDEX('Shultis Faw'!$E$2:$E$26,MATCH($C721,'Shultis Faw'!$A$2:$A$26,1)+1)-INDEX('Shultis Faw'!$E$2:$E$26,MATCH($C721,'Shultis Faw'!$A$2:$A$26,1)))/(INDEX('Shultis Faw'!$A$2:$A$26,MATCH($C721,'Shultis Faw'!$A$2:$A$26,1)+1)-INDEX('Shultis Faw'!$A$2:$A$26,MATCH($C721,'Shultis Faw'!$A$2:$A$26,1))),$C721*'Shultis Faw'!$E$2/'Shultis Faw'!$A$2)</f>
        <v>7.1743649999999992E-2</v>
      </c>
      <c r="M721" s="83">
        <f>_xlfn.IFNA(INDEX('Shultis Faw'!$F$2:$F$26,MATCH($C721,'Shultis Faw'!$A$2:$A$26,1))+($C721-INDEX('Shultis Faw'!$A$2:$A$26,MATCH($C721,'Shultis Faw'!$A$2:$A$26,1)))*(INDEX('Shultis Faw'!$F$2:$F$26,MATCH($C721,'Shultis Faw'!$A$2:$A$26,1)+1)-INDEX('Shultis Faw'!$F$2:$F$26,MATCH($C721,'Shultis Faw'!$A$2:$A$26,1)))/(INDEX('Shultis Faw'!$A$2:$A$26,MATCH($C721,'Shultis Faw'!$A$2:$A$26,1)+1)-INDEX('Shultis Faw'!$A$2:$A$26,MATCH($C721,'Shultis Faw'!$A$2:$A$26,1))),$C721*'Shultis Faw'!$F$2/'Shultis Faw'!$A$2)</f>
        <v>13.662455</v>
      </c>
      <c r="N721" s="83">
        <f>J721*(H721*'Externe blootstelling'!$D$23/2)^K721+L721*(TANH(((H721*'Externe blootstelling'!$D$23)/(2*M721))-2)-TANH(-2))/(1-TANH(-2))</f>
        <v>1.6782924560523043</v>
      </c>
      <c r="O721" s="83">
        <f>IF(N721=1,1+(I721-1)*H721*'Externe blootstelling'!$D$23/2,1+(I721-1)*(N721^(H721*'Externe blootstelling'!$D$23/2)-1)/(N721-1))</f>
        <v>20.836455563966105</v>
      </c>
      <c r="P721" s="67">
        <f>G721*EXP(-H721*'Externe blootstelling'!$D$23/2)*O721</f>
        <v>1.3533265274606578E-5</v>
      </c>
      <c r="Q721" s="68"/>
    </row>
    <row r="722" spans="1:17" x14ac:dyDescent="0.2">
      <c r="A722" s="217"/>
      <c r="B722" s="64" t="s">
        <v>102</v>
      </c>
      <c r="C722" s="66">
        <v>8.4952699999999992E-2</v>
      </c>
      <c r="D722" s="66">
        <f t="shared" si="46"/>
        <v>1.3592432E-14</v>
      </c>
      <c r="E722" s="66">
        <v>8.8000000000000004E-6</v>
      </c>
      <c r="F722" s="66">
        <f>_xlfn.IFNA(INDEX('hp (pSv cm2)'!$B$2:$B$52,MATCH($C722,'hp (pSv cm2)'!$A$2:$A$52,1))+($C722-INDEX('hp (pSv cm2)'!$A$2:$A$52,MATCH($C722,'hp (pSv cm2)'!$A$2:$A$52,1)))*(INDEX('hp (pSv cm2)'!$B$2:$B$52,MATCH($C722,'hp (pSv cm2)'!$A$2:$A$52,1)+1)-INDEX('hp (pSv cm2)'!$B$2:$B$52,MATCH($C722,'hp (pSv cm2)'!$A$2:$A$52,1)))/(INDEX('hp (pSv cm2)'!$A$2:$A$52,MATCH($C722,'hp (pSv cm2)'!$A$2:$A$52,1)+1)-INDEX('hp (pSv cm2)'!$A$2:$A$52,MATCH($C722,'hp (pSv cm2)'!$A$2:$A$52,1))),$C722*'hp (pSv cm2)'!$B$2/'hp (pSv cm2)'!$A$2)</f>
        <v>0.46157262499999996</v>
      </c>
      <c r="G722" s="67">
        <f t="shared" si="48"/>
        <v>4.0618390999999998E-6</v>
      </c>
      <c r="H722" s="83">
        <f>_xlfn.IFNA(0.997*(INDEX('Mass attenuation coefficients'!$B$2:$B$37,MATCH($C722,'Mass attenuation coefficients'!$A$2:$A$37,1))+($C722-INDEX('Mass attenuation coefficients'!$A$2:$A$37,MATCH($C722,'Mass attenuation coefficients'!$A$2:$A$37,1)))*(INDEX('Mass attenuation coefficients'!$B$2:$B$37,MATCH($C722,'Mass attenuation coefficients'!$A$2:$A$37,1)+1)-INDEX('Mass attenuation coefficients'!$B$2:$B$37,MATCH($C722,'Mass attenuation coefficients'!$A$2:$A$37,1)))/(INDEX('Mass attenuation coefficients'!$A$2:$A$37,MATCH($C722,'Mass attenuation coefficients'!$A$2:$A$37,1)+1)-INDEX('Mass attenuation coefficients'!$A$2:$A$37,MATCH($C722,'Mass attenuation coefficients'!$A$2:$A$37,1)))),0.997*$C722*'Mass attenuation coefficients'!$B$2/'Mass attenuation coefficients'!$A$2)</f>
        <v>0.179939302765</v>
      </c>
      <c r="I722" s="83">
        <f>_xlfn.IFNA(INDEX('Shultis Faw'!$C$2:$C$26,MATCH($C722,'Shultis Faw'!$A$2:$A$26,1))+($C722-INDEX('Shultis Faw'!$A$2:$A$26,MATCH($C722,'Shultis Faw'!$A$2:$A$26,1)))*(INDEX('Shultis Faw'!$C$2:$C$26,MATCH($C722,'Shultis Faw'!$A$2:$A$26,1)+1)-INDEX('Shultis Faw'!$C$2:$C$26,MATCH($C722,'Shultis Faw'!$A$2:$A$26,1)))/(INDEX('Shultis Faw'!$A$2:$A$26,MATCH($C722,'Shultis Faw'!$A$2:$A$26,1)+1)-INDEX('Shultis Faw'!$A$2:$A$26,MATCH($C722,'Shultis Faw'!$A$2:$A$26,1))),$C722*'Shultis Faw'!$C$2/'Shultis Faw'!$A$2)</f>
        <v>4.9609365400000005</v>
      </c>
      <c r="J722" s="83">
        <f>_xlfn.IFNA(INDEX('Shultis Faw'!$D$2:$D$26,MATCH($C722,'Shultis Faw'!$A$2:$A$26,1))+($C722-INDEX('Shultis Faw'!$A$2:$A$26,MATCH($C722,'Shultis Faw'!$A$2:$A$26,1)))*(INDEX('Shultis Faw'!$D$2:$D$26,MATCH($C722,'Shultis Faw'!$A$2:$A$26,1)+1)-INDEX('Shultis Faw'!$D$2:$D$26,MATCH($C722,'Shultis Faw'!$A$2:$A$26,1)))/(INDEX('Shultis Faw'!$A$2:$A$26,MATCH($C722,'Shultis Faw'!$A$2:$A$26,1)+1)-INDEX('Shultis Faw'!$A$2:$A$26,MATCH($C722,'Shultis Faw'!$A$2:$A$26,1))),$C722*'Shultis Faw'!$D$2/'Shultis Faw'!$A$2)</f>
        <v>2.09911687</v>
      </c>
      <c r="K722" s="83">
        <f>_xlfn.IFNA(INDEX('Shultis Faw'!$B$2:$B$26,MATCH($C722,'Shultis Faw'!$A$2:$A$26,1))+($C722-INDEX('Shultis Faw'!$A$2:$A$26,MATCH($C722,'Shultis Faw'!$A$2:$A$26,1)))*(INDEX('Shultis Faw'!$B$2:$B$26,MATCH($C722,'Shultis Faw'!$A$2:$A$26,1)+1)-INDEX('Shultis Faw'!$B$2:$B$26,MATCH($C722,'Shultis Faw'!$A$2:$A$26,1)))/(INDEX('Shultis Faw'!$A$2:$A$26,MATCH($C722,'Shultis Faw'!$A$2:$A$26,1)+1)-INDEX('Shultis Faw'!$A$2:$A$26,MATCH($C722,'Shultis Faw'!$A$2:$A$26,1))),$C722*'Shultis Faw'!$B$2/'Shultis Faw'!$A$2)</f>
        <v>-0.17245742999999999</v>
      </c>
      <c r="L722" s="83">
        <f>_xlfn.IFNA(INDEX('Shultis Faw'!$E$2:$E$26,MATCH($C722,'Shultis Faw'!$A$2:$A$26,1))+($C722-INDEX('Shultis Faw'!$A$2:$A$26,MATCH($C722,'Shultis Faw'!$A$2:$A$26,1)))*(INDEX('Shultis Faw'!$E$2:$E$26,MATCH($C722,'Shultis Faw'!$A$2:$A$26,1)+1)-INDEX('Shultis Faw'!$E$2:$E$26,MATCH($C722,'Shultis Faw'!$A$2:$A$26,1)))/(INDEX('Shultis Faw'!$A$2:$A$26,MATCH($C722,'Shultis Faw'!$A$2:$A$26,1)+1)-INDEX('Shultis Faw'!$A$2:$A$26,MATCH($C722,'Shultis Faw'!$A$2:$A$26,1))),$C722*'Shultis Faw'!$E$2/'Shultis Faw'!$A$2)</f>
        <v>7.8386756000000002E-2</v>
      </c>
      <c r="M722" s="83">
        <f>_xlfn.IFNA(INDEX('Shultis Faw'!$F$2:$F$26,MATCH($C722,'Shultis Faw'!$A$2:$A$26,1))+($C722-INDEX('Shultis Faw'!$A$2:$A$26,MATCH($C722,'Shultis Faw'!$A$2:$A$26,1)))*(INDEX('Shultis Faw'!$F$2:$F$26,MATCH($C722,'Shultis Faw'!$A$2:$A$26,1)+1)-INDEX('Shultis Faw'!$F$2:$F$26,MATCH($C722,'Shultis Faw'!$A$2:$A$26,1)))/(INDEX('Shultis Faw'!$A$2:$A$26,MATCH($C722,'Shultis Faw'!$A$2:$A$26,1)+1)-INDEX('Shultis Faw'!$A$2:$A$26,MATCH($C722,'Shultis Faw'!$A$2:$A$26,1))),$C722*'Shultis Faw'!$F$2/'Shultis Faw'!$A$2)</f>
        <v>13.585804100000001</v>
      </c>
      <c r="N722" s="83">
        <f>J722*(H722*'Externe blootstelling'!$D$23/2)^K722+L722*(TANH(((H722*'Externe blootstelling'!$D$23)/(2*M722))-2)-TANH(-2))/(1-TANH(-2))</f>
        <v>1.7694462607678387</v>
      </c>
      <c r="O722" s="83">
        <f>IF(N722=1,1+(I722-1)*H722*'Externe blootstelling'!$D$23/2,1+(I722-1)*(N722^(H722*'Externe blootstelling'!$D$23/2)-1)/(N722-1))</f>
        <v>19.871221385009456</v>
      </c>
      <c r="P722" s="67">
        <f>G722*EXP(-H722*'Externe blootstelling'!$D$23/2)*O722</f>
        <v>5.4293468070109063E-6</v>
      </c>
      <c r="Q722" s="68"/>
    </row>
    <row r="723" spans="1:17" x14ac:dyDescent="0.2">
      <c r="A723" s="217"/>
      <c r="B723" s="64" t="s">
        <v>102</v>
      </c>
      <c r="C723" s="66">
        <v>8.757630000000001E-2</v>
      </c>
      <c r="D723" s="66">
        <f t="shared" si="46"/>
        <v>1.4012208E-14</v>
      </c>
      <c r="E723" s="66">
        <v>2.6599999999999999E-6</v>
      </c>
      <c r="F723" s="66">
        <f>_xlfn.IFNA(INDEX('hp (pSv cm2)'!$B$2:$B$52,MATCH($C723,'hp (pSv cm2)'!$A$2:$A$52,1))+($C723-INDEX('hp (pSv cm2)'!$A$2:$A$52,MATCH($C723,'hp (pSv cm2)'!$A$2:$A$52,1)))*(INDEX('hp (pSv cm2)'!$B$2:$B$52,MATCH($C723,'hp (pSv cm2)'!$A$2:$A$52,1)+1)-INDEX('hp (pSv cm2)'!$B$2:$B$52,MATCH($C723,'hp (pSv cm2)'!$A$2:$A$52,1)))/(INDEX('hp (pSv cm2)'!$A$2:$A$52,MATCH($C723,'hp (pSv cm2)'!$A$2:$A$52,1)+1)-INDEX('hp (pSv cm2)'!$A$2:$A$52,MATCH($C723,'hp (pSv cm2)'!$A$2:$A$52,1))),$C723*'hp (pSv cm2)'!$B$2/'hp (pSv cm2)'!$A$2)</f>
        <v>0.47141112500000004</v>
      </c>
      <c r="G723" s="67">
        <f t="shared" si="48"/>
        <v>1.2539535925000001E-6</v>
      </c>
      <c r="H723" s="83">
        <f>_xlfn.IFNA(0.997*(INDEX('Mass attenuation coefficients'!$B$2:$B$37,MATCH($C723,'Mass attenuation coefficients'!$A$2:$A$37,1))+($C723-INDEX('Mass attenuation coefficients'!$A$2:$A$37,MATCH($C723,'Mass attenuation coefficients'!$A$2:$A$37,1)))*(INDEX('Mass attenuation coefficients'!$B$2:$B$37,MATCH($C723,'Mass attenuation coefficients'!$A$2:$A$37,1)+1)-INDEX('Mass attenuation coefficients'!$B$2:$B$37,MATCH($C723,'Mass attenuation coefficients'!$A$2:$A$37,1)))/(INDEX('Mass attenuation coefficients'!$A$2:$A$37,MATCH($C723,'Mass attenuation coefficients'!$A$2:$A$37,1)+1)-INDEX('Mass attenuation coefficients'!$A$2:$A$37,MATCH($C723,'Mass attenuation coefficients'!$A$2:$A$37,1)))),0.997*$C723*'Mass attenuation coefficients'!$B$2/'Mass attenuation coefficients'!$A$2)</f>
        <v>0.178239078785</v>
      </c>
      <c r="I723" s="83">
        <f>_xlfn.IFNA(INDEX('Shultis Faw'!$C$2:$C$26,MATCH($C723,'Shultis Faw'!$A$2:$A$26,1))+($C723-INDEX('Shultis Faw'!$A$2:$A$26,MATCH($C723,'Shultis Faw'!$A$2:$A$26,1)))*(INDEX('Shultis Faw'!$C$2:$C$26,MATCH($C723,'Shultis Faw'!$A$2:$A$26,1)+1)-INDEX('Shultis Faw'!$C$2:$C$26,MATCH($C723,'Shultis Faw'!$A$2:$A$26,1)))/(INDEX('Shultis Faw'!$A$2:$A$26,MATCH($C723,'Shultis Faw'!$A$2:$A$26,1)+1)-INDEX('Shultis Faw'!$A$2:$A$26,MATCH($C723,'Shultis Faw'!$A$2:$A$26,1))),$C723*'Shultis Faw'!$C$2/'Shultis Faw'!$A$2)</f>
        <v>4.9089892600000002</v>
      </c>
      <c r="J723" s="83">
        <f>_xlfn.IFNA(INDEX('Shultis Faw'!$D$2:$D$26,MATCH($C723,'Shultis Faw'!$A$2:$A$26,1))+($C723-INDEX('Shultis Faw'!$A$2:$A$26,MATCH($C723,'Shultis Faw'!$A$2:$A$26,1)))*(INDEX('Shultis Faw'!$D$2:$D$26,MATCH($C723,'Shultis Faw'!$A$2:$A$26,1)+1)-INDEX('Shultis Faw'!$D$2:$D$26,MATCH($C723,'Shultis Faw'!$A$2:$A$26,1)))/(INDEX('Shultis Faw'!$A$2:$A$26,MATCH($C723,'Shultis Faw'!$A$2:$A$26,1)+1)-INDEX('Shultis Faw'!$A$2:$A$26,MATCH($C723,'Shultis Faw'!$A$2:$A$26,1))),$C723*'Shultis Faw'!$D$2/'Shultis Faw'!$A$2)</f>
        <v>2.1203680300000003</v>
      </c>
      <c r="K723" s="83">
        <f>_xlfn.IFNA(INDEX('Shultis Faw'!$B$2:$B$26,MATCH($C723,'Shultis Faw'!$A$2:$A$26,1))+($C723-INDEX('Shultis Faw'!$A$2:$A$26,MATCH($C723,'Shultis Faw'!$A$2:$A$26,1)))*(INDEX('Shultis Faw'!$B$2:$B$26,MATCH($C723,'Shultis Faw'!$A$2:$A$26,1)+1)-INDEX('Shultis Faw'!$B$2:$B$26,MATCH($C723,'Shultis Faw'!$A$2:$A$26,1)))/(INDEX('Shultis Faw'!$A$2:$A$26,MATCH($C723,'Shultis Faw'!$A$2:$A$26,1)+1)-INDEX('Shultis Faw'!$A$2:$A$26,MATCH($C723,'Shultis Faw'!$A$2:$A$26,1))),$C723*'Shultis Faw'!$B$2/'Shultis Faw'!$A$2)</f>
        <v>-0.17481867000000001</v>
      </c>
      <c r="L723" s="83">
        <f>_xlfn.IFNA(INDEX('Shultis Faw'!$E$2:$E$26,MATCH($C723,'Shultis Faw'!$A$2:$A$26,1))+($C723-INDEX('Shultis Faw'!$A$2:$A$26,MATCH($C723,'Shultis Faw'!$A$2:$A$26,1)))*(INDEX('Shultis Faw'!$E$2:$E$26,MATCH($C723,'Shultis Faw'!$A$2:$A$26,1)+1)-INDEX('Shultis Faw'!$E$2:$E$26,MATCH($C723,'Shultis Faw'!$A$2:$A$26,1)))/(INDEX('Shultis Faw'!$A$2:$A$26,MATCH($C723,'Shultis Faw'!$A$2:$A$26,1)+1)-INDEX('Shultis Faw'!$A$2:$A$26,MATCH($C723,'Shultis Faw'!$A$2:$A$26,1))),$C723*'Shultis Faw'!$E$2/'Shultis Faw'!$A$2)</f>
        <v>7.9121364E-2</v>
      </c>
      <c r="M723" s="83">
        <f>_xlfn.IFNA(INDEX('Shultis Faw'!$F$2:$F$26,MATCH($C723,'Shultis Faw'!$A$2:$A$26,1))+($C723-INDEX('Shultis Faw'!$A$2:$A$26,MATCH($C723,'Shultis Faw'!$A$2:$A$26,1)))*(INDEX('Shultis Faw'!$F$2:$F$26,MATCH($C723,'Shultis Faw'!$A$2:$A$26,1)+1)-INDEX('Shultis Faw'!$F$2:$F$26,MATCH($C723,'Shultis Faw'!$A$2:$A$26,1)))/(INDEX('Shultis Faw'!$A$2:$A$26,MATCH($C723,'Shultis Faw'!$A$2:$A$26,1)+1)-INDEX('Shultis Faw'!$A$2:$A$26,MATCH($C723,'Shultis Faw'!$A$2:$A$26,1))),$C723*'Shultis Faw'!$F$2/'Shultis Faw'!$A$2)</f>
        <v>13.5412029</v>
      </c>
      <c r="N723" s="83">
        <f>J723*(H723*'Externe blootstelling'!$D$23/2)^K723+L723*(TANH(((H723*'Externe blootstelling'!$D$23)/(2*M723))-2)-TANH(-2))/(1-TANH(-2))</f>
        <v>1.7861311386611352</v>
      </c>
      <c r="O723" s="83">
        <f>IF(N723=1,1+(I723-1)*H723*'Externe blootstelling'!$D$23/2,1+(I723-1)*(N723^(H723*'Externe blootstelling'!$D$23/2)-1)/(N723-1))</f>
        <v>19.474249029157679</v>
      </c>
      <c r="P723" s="67">
        <f>G723*EXP(-H723*'Externe blootstelling'!$D$23/2)*O723</f>
        <v>1.685071982415645E-6</v>
      </c>
      <c r="Q723" s="68"/>
    </row>
    <row r="724" spans="1:17" x14ac:dyDescent="0.2">
      <c r="A724" s="217"/>
      <c r="B724" s="64" t="s">
        <v>104</v>
      </c>
      <c r="C724" s="66">
        <v>0.3281</v>
      </c>
      <c r="D724" s="66">
        <f t="shared" si="46"/>
        <v>5.2495999999999998E-14</v>
      </c>
      <c r="E724" s="66">
        <v>1.42E-5</v>
      </c>
      <c r="F724" s="66">
        <f>_xlfn.IFNA(INDEX('hp (pSv cm2)'!$B$2:$B$52,MATCH($C724,'hp (pSv cm2)'!$A$2:$A$52,1))+($C724-INDEX('hp (pSv cm2)'!$A$2:$A$52,MATCH($C724,'hp (pSv cm2)'!$A$2:$A$52,1)))*(INDEX('hp (pSv cm2)'!$B$2:$B$52,MATCH($C724,'hp (pSv cm2)'!$A$2:$A$52,1)+1)-INDEX('hp (pSv cm2)'!$B$2:$B$52,MATCH($C724,'hp (pSv cm2)'!$A$2:$A$52,1)))/(INDEX('hp (pSv cm2)'!$A$2:$A$52,MATCH($C724,'hp (pSv cm2)'!$A$2:$A$52,1)+1)-INDEX('hp (pSv cm2)'!$A$2:$A$52,MATCH($C724,'hp (pSv cm2)'!$A$2:$A$52,1))),$C724*'hp (pSv cm2)'!$B$2/'hp (pSv cm2)'!$A$2)</f>
        <v>1.6476900000000001</v>
      </c>
      <c r="G724" s="67">
        <f t="shared" si="48"/>
        <v>2.3397198000000001E-5</v>
      </c>
      <c r="H724" s="83">
        <f>_xlfn.IFNA(0.997*(INDEX('Mass attenuation coefficients'!$B$2:$B$37,MATCH($C724,'Mass attenuation coefficients'!$A$2:$A$37,1))+($C724-INDEX('Mass attenuation coefficients'!$A$2:$A$37,MATCH($C724,'Mass attenuation coefficients'!$A$2:$A$37,1)))*(INDEX('Mass attenuation coefficients'!$B$2:$B$37,MATCH($C724,'Mass attenuation coefficients'!$A$2:$A$37,1)+1)-INDEX('Mass attenuation coefficients'!$B$2:$B$37,MATCH($C724,'Mass attenuation coefficients'!$A$2:$A$37,1)))/(INDEX('Mass attenuation coefficients'!$A$2:$A$37,MATCH($C724,'Mass attenuation coefficients'!$A$2:$A$37,1)+1)-INDEX('Mass attenuation coefficients'!$A$2:$A$37,MATCH($C724,'Mass attenuation coefficients'!$A$2:$A$37,1)))),0.997*$C724*'Mass attenuation coefficients'!$B$2/'Mass attenuation coefficients'!$A$2)</f>
        <v>0.1147422375</v>
      </c>
      <c r="I724" s="83">
        <f>_xlfn.IFNA(INDEX('Shultis Faw'!$C$2:$C$26,MATCH($C724,'Shultis Faw'!$A$2:$A$26,1))+($C724-INDEX('Shultis Faw'!$A$2:$A$26,MATCH($C724,'Shultis Faw'!$A$2:$A$26,1)))*(INDEX('Shultis Faw'!$C$2:$C$26,MATCH($C724,'Shultis Faw'!$A$2:$A$26,1)+1)-INDEX('Shultis Faw'!$C$2:$C$26,MATCH($C724,'Shultis Faw'!$A$2:$A$26,1)))/(INDEX('Shultis Faw'!$A$2:$A$26,MATCH($C724,'Shultis Faw'!$A$2:$A$26,1)+1)-INDEX('Shultis Faw'!$A$2:$A$26,MATCH($C724,'Shultis Faw'!$A$2:$A$26,1))),$C724*'Shultis Faw'!$C$2/'Shultis Faw'!$A$2)</f>
        <v>2.84694</v>
      </c>
      <c r="J724" s="83">
        <f>_xlfn.IFNA(INDEX('Shultis Faw'!$D$2:$D$26,MATCH($C724,'Shultis Faw'!$A$2:$A$26,1))+($C724-INDEX('Shultis Faw'!$A$2:$A$26,MATCH($C724,'Shultis Faw'!$A$2:$A$26,1)))*(INDEX('Shultis Faw'!$D$2:$D$26,MATCH($C724,'Shultis Faw'!$A$2:$A$26,1)+1)-INDEX('Shultis Faw'!$D$2:$D$26,MATCH($C724,'Shultis Faw'!$A$2:$A$26,1)))/(INDEX('Shultis Faw'!$A$2:$A$26,MATCH($C724,'Shultis Faw'!$A$2:$A$26,1)+1)-INDEX('Shultis Faw'!$A$2:$A$26,MATCH($C724,'Shultis Faw'!$A$2:$A$26,1))),$C724*'Shultis Faw'!$D$2/'Shultis Faw'!$A$2)</f>
        <v>1.9826599999999999</v>
      </c>
      <c r="K724" s="83">
        <f>_xlfn.IFNA(INDEX('Shultis Faw'!$B$2:$B$26,MATCH($C724,'Shultis Faw'!$A$2:$A$26,1))+($C724-INDEX('Shultis Faw'!$A$2:$A$26,MATCH($C724,'Shultis Faw'!$A$2:$A$26,1)))*(INDEX('Shultis Faw'!$B$2:$B$26,MATCH($C724,'Shultis Faw'!$A$2:$A$26,1)+1)-INDEX('Shultis Faw'!$B$2:$B$26,MATCH($C724,'Shultis Faw'!$A$2:$A$26,1)))/(INDEX('Shultis Faw'!$A$2:$A$26,MATCH($C724,'Shultis Faw'!$A$2:$A$26,1)+1)-INDEX('Shultis Faw'!$A$2:$A$26,MATCH($C724,'Shultis Faw'!$A$2:$A$26,1))),$C724*'Shultis Faw'!$B$2/'Shultis Faw'!$A$2)</f>
        <v>-0.15978500000000001</v>
      </c>
      <c r="L724" s="83">
        <f>_xlfn.IFNA(INDEX('Shultis Faw'!$E$2:$E$26,MATCH($C724,'Shultis Faw'!$A$2:$A$26,1))+($C724-INDEX('Shultis Faw'!$A$2:$A$26,MATCH($C724,'Shultis Faw'!$A$2:$A$26,1)))*(INDEX('Shultis Faw'!$E$2:$E$26,MATCH($C724,'Shultis Faw'!$A$2:$A$26,1)+1)-INDEX('Shultis Faw'!$E$2:$E$26,MATCH($C724,'Shultis Faw'!$A$2:$A$26,1)))/(INDEX('Shultis Faw'!$A$2:$A$26,MATCH($C724,'Shultis Faw'!$A$2:$A$26,1)+1)-INDEX('Shultis Faw'!$A$2:$A$26,MATCH($C724,'Shultis Faw'!$A$2:$A$26,1))),$C724*'Shultis Faw'!$E$2/'Shultis Faw'!$A$2)</f>
        <v>6.3813999999999996E-2</v>
      </c>
      <c r="M724" s="83">
        <f>_xlfn.IFNA(INDEX('Shultis Faw'!$F$2:$F$26,MATCH($C724,'Shultis Faw'!$A$2:$A$26,1))+($C724-INDEX('Shultis Faw'!$A$2:$A$26,MATCH($C724,'Shultis Faw'!$A$2:$A$26,1)))*(INDEX('Shultis Faw'!$F$2:$F$26,MATCH($C724,'Shultis Faw'!$A$2:$A$26,1)+1)-INDEX('Shultis Faw'!$F$2:$F$26,MATCH($C724,'Shultis Faw'!$A$2:$A$26,1)))/(INDEX('Shultis Faw'!$A$2:$A$26,MATCH($C724,'Shultis Faw'!$A$2:$A$26,1)+1)-INDEX('Shultis Faw'!$A$2:$A$26,MATCH($C724,'Shultis Faw'!$A$2:$A$26,1))),$C724*'Shultis Faw'!$F$2/'Shultis Faw'!$A$2)</f>
        <v>14.218430000000001</v>
      </c>
      <c r="N724" s="83">
        <f>J724*(H724*'Externe blootstelling'!$D$23/2)^K724+L724*(TANH(((H724*'Externe blootstelling'!$D$23)/(2*M724))-2)-TANH(-2))/(1-TANH(-2))</f>
        <v>1.8182070949860645</v>
      </c>
      <c r="O724" s="83">
        <f>IF(N724=1,1+(I724-1)*H724*'Externe blootstelling'!$D$23/2,1+(I724-1)*(N724^(H724*'Externe blootstelling'!$D$23/2)-1)/(N724-1))</f>
        <v>5.0591102882168544</v>
      </c>
      <c r="P724" s="67">
        <f>G724*EXP(-H724*'Externe blootstelling'!$D$23/2)*O724</f>
        <v>2.1171868534550471E-5</v>
      </c>
      <c r="Q724" s="68"/>
    </row>
    <row r="725" spans="1:17" x14ac:dyDescent="0.2">
      <c r="A725" s="217"/>
      <c r="B725" s="64" t="s">
        <v>104</v>
      </c>
      <c r="C725" s="66">
        <v>0.56969799999999993</v>
      </c>
      <c r="D725" s="66">
        <f t="shared" si="46"/>
        <v>9.1151679999999971E-14</v>
      </c>
      <c r="E725" s="66">
        <v>1.8500000000000002E-5</v>
      </c>
      <c r="F725" s="66">
        <f>_xlfn.IFNA(INDEX('hp (pSv cm2)'!$B$2:$B$52,MATCH($C725,'hp (pSv cm2)'!$A$2:$A$52,1))+($C725-INDEX('hp (pSv cm2)'!$A$2:$A$52,MATCH($C725,'hp (pSv cm2)'!$A$2:$A$52,1)))*(INDEX('hp (pSv cm2)'!$B$2:$B$52,MATCH($C725,'hp (pSv cm2)'!$A$2:$A$52,1)+1)-INDEX('hp (pSv cm2)'!$B$2:$B$52,MATCH($C725,'hp (pSv cm2)'!$A$2:$A$52,1)))/(INDEX('hp (pSv cm2)'!$A$2:$A$52,MATCH($C725,'hp (pSv cm2)'!$A$2:$A$52,1)+1)-INDEX('hp (pSv cm2)'!$A$2:$A$52,MATCH($C725,'hp (pSv cm2)'!$A$2:$A$52,1))),$C725*'hp (pSv cm2)'!$B$2/'hp (pSv cm2)'!$A$2)</f>
        <v>2.7766712</v>
      </c>
      <c r="G725" s="67">
        <f t="shared" si="48"/>
        <v>5.1368417200000004E-5</v>
      </c>
      <c r="H725" s="83">
        <f>_xlfn.IFNA(0.997*(INDEX('Mass attenuation coefficients'!$B$2:$B$37,MATCH($C725,'Mass attenuation coefficients'!$A$2:$A$37,1))+($C725-INDEX('Mass attenuation coefficients'!$A$2:$A$37,MATCH($C725,'Mass attenuation coefficients'!$A$2:$A$37,1)))*(INDEX('Mass attenuation coefficients'!$B$2:$B$37,MATCH($C725,'Mass attenuation coefficients'!$A$2:$A$37,1)+1)-INDEX('Mass attenuation coefficients'!$B$2:$B$37,MATCH($C725,'Mass attenuation coefficients'!$A$2:$A$37,1)))/(INDEX('Mass attenuation coefficients'!$A$2:$A$37,MATCH($C725,'Mass attenuation coefficients'!$A$2:$A$37,1)+1)-INDEX('Mass attenuation coefficients'!$A$2:$A$37,MATCH($C725,'Mass attenuation coefficients'!$A$2:$A$37,1)))),0.997*$C725*'Mass attenuation coefficients'!$B$2/'Mass attenuation coefficients'!$A$2)</f>
        <v>9.1499750971399993E-2</v>
      </c>
      <c r="I725" s="83">
        <f>_xlfn.IFNA(INDEX('Shultis Faw'!$C$2:$C$26,MATCH($C725,'Shultis Faw'!$A$2:$A$26,1))+($C725-INDEX('Shultis Faw'!$A$2:$A$26,MATCH($C725,'Shultis Faw'!$A$2:$A$26,1)))*(INDEX('Shultis Faw'!$C$2:$C$26,MATCH($C725,'Shultis Faw'!$A$2:$A$26,1)+1)-INDEX('Shultis Faw'!$C$2:$C$26,MATCH($C725,'Shultis Faw'!$A$2:$A$26,1)))/(INDEX('Shultis Faw'!$A$2:$A$26,MATCH($C725,'Shultis Faw'!$A$2:$A$26,1)+1)-INDEX('Shultis Faw'!$A$2:$A$26,MATCH($C725,'Shultis Faw'!$A$2:$A$26,1))),$C725*'Shultis Faw'!$C$2/'Shultis Faw'!$A$2)</f>
        <v>2.4142714599999997</v>
      </c>
      <c r="J725" s="83">
        <f>_xlfn.IFNA(INDEX('Shultis Faw'!$D$2:$D$26,MATCH($C725,'Shultis Faw'!$A$2:$A$26,1))+($C725-INDEX('Shultis Faw'!$A$2:$A$26,MATCH($C725,'Shultis Faw'!$A$2:$A$26,1)))*(INDEX('Shultis Faw'!$D$2:$D$26,MATCH($C725,'Shultis Faw'!$A$2:$A$26,1)+1)-INDEX('Shultis Faw'!$D$2:$D$26,MATCH($C725,'Shultis Faw'!$A$2:$A$26,1)))/(INDEX('Shultis Faw'!$A$2:$A$26,MATCH($C725,'Shultis Faw'!$A$2:$A$26,1)+1)-INDEX('Shultis Faw'!$A$2:$A$26,MATCH($C725,'Shultis Faw'!$A$2:$A$26,1))),$C725*'Shultis Faw'!$D$2/'Shultis Faw'!$A$2)</f>
        <v>1.70536274</v>
      </c>
      <c r="K725" s="83">
        <f>_xlfn.IFNA(INDEX('Shultis Faw'!$B$2:$B$26,MATCH($C725,'Shultis Faw'!$A$2:$A$26,1))+($C725-INDEX('Shultis Faw'!$A$2:$A$26,MATCH($C725,'Shultis Faw'!$A$2:$A$26,1)))*(INDEX('Shultis Faw'!$B$2:$B$26,MATCH($C725,'Shultis Faw'!$A$2:$A$26,1)+1)-INDEX('Shultis Faw'!$B$2:$B$26,MATCH($C725,'Shultis Faw'!$A$2:$A$26,1)))/(INDEX('Shultis Faw'!$A$2:$A$26,MATCH($C725,'Shultis Faw'!$A$2:$A$26,1)+1)-INDEX('Shultis Faw'!$A$2:$A$26,MATCH($C725,'Shultis Faw'!$A$2:$A$26,1))),$C725*'Shultis Faw'!$B$2/'Shultis Faw'!$A$2)</f>
        <v>-0.12733322</v>
      </c>
      <c r="L725" s="83">
        <f>_xlfn.IFNA(INDEX('Shultis Faw'!$E$2:$E$26,MATCH($C725,'Shultis Faw'!$A$2:$A$26,1))+($C725-INDEX('Shultis Faw'!$A$2:$A$26,MATCH($C725,'Shultis Faw'!$A$2:$A$26,1)))*(INDEX('Shultis Faw'!$E$2:$E$26,MATCH($C725,'Shultis Faw'!$A$2:$A$26,1)+1)-INDEX('Shultis Faw'!$E$2:$E$26,MATCH($C725,'Shultis Faw'!$A$2:$A$26,1)))/(INDEX('Shultis Faw'!$A$2:$A$26,MATCH($C725,'Shultis Faw'!$A$2:$A$26,1)+1)-INDEX('Shultis Faw'!$A$2:$A$26,MATCH($C725,'Shultis Faw'!$A$2:$A$26,1))),$C725*'Shultis Faw'!$E$2/'Shultis Faw'!$A$2)</f>
        <v>5.1602986000000003E-2</v>
      </c>
      <c r="M725" s="83">
        <f>_xlfn.IFNA(INDEX('Shultis Faw'!$F$2:$F$26,MATCH($C725,'Shultis Faw'!$A$2:$A$26,1))+($C725-INDEX('Shultis Faw'!$A$2:$A$26,MATCH($C725,'Shultis Faw'!$A$2:$A$26,1)))*(INDEX('Shultis Faw'!$F$2:$F$26,MATCH($C725,'Shultis Faw'!$A$2:$A$26,1)+1)-INDEX('Shultis Faw'!$F$2:$F$26,MATCH($C725,'Shultis Faw'!$A$2:$A$26,1)))/(INDEX('Shultis Faw'!$A$2:$A$26,MATCH($C725,'Shultis Faw'!$A$2:$A$26,1)+1)-INDEX('Shultis Faw'!$A$2:$A$26,MATCH($C725,'Shultis Faw'!$A$2:$A$26,1))),$C725*'Shultis Faw'!$F$2/'Shultis Faw'!$A$2)</f>
        <v>14.260302000000001</v>
      </c>
      <c r="N725" s="83">
        <f>J725*(H725*'Externe blootstelling'!$D$23/2)^K725+L725*(TANH(((H725*'Externe blootstelling'!$D$23)/(2*M725))-2)-TANH(-2))/(1-TANH(-2))</f>
        <v>1.6381703622360317</v>
      </c>
      <c r="O725" s="83">
        <f>IF(N725=1,1+(I725-1)*H725*'Externe blootstelling'!$D$23/2,1+(I725-1)*(N725^(H725*'Externe blootstelling'!$D$23/2)-1)/(N725-1))</f>
        <v>3.1470456573975563</v>
      </c>
      <c r="P725" s="67">
        <f>G725*EXP(-H725*'Externe blootstelling'!$D$23/2)*O725</f>
        <v>4.0976199325155003E-5</v>
      </c>
      <c r="Q725" s="68"/>
    </row>
    <row r="726" spans="1:17" x14ac:dyDescent="0.2">
      <c r="A726" s="218"/>
      <c r="B726" s="64" t="s">
        <v>104</v>
      </c>
      <c r="C726" s="66">
        <v>0.89776999999999996</v>
      </c>
      <c r="D726" s="66">
        <f t="shared" si="46"/>
        <v>1.4364319999999999E-13</v>
      </c>
      <c r="E726" s="66">
        <v>2.63E-3</v>
      </c>
      <c r="F726" s="66">
        <f>_xlfn.IFNA(INDEX('hp (pSv cm2)'!$B$2:$B$52,MATCH($C726,'hp (pSv cm2)'!$A$2:$A$52,1))+($C726-INDEX('hp (pSv cm2)'!$A$2:$A$52,MATCH($C726,'hp (pSv cm2)'!$A$2:$A$52,1)))*(INDEX('hp (pSv cm2)'!$B$2:$B$52,MATCH($C726,'hp (pSv cm2)'!$A$2:$A$52,1)+1)-INDEX('hp (pSv cm2)'!$B$2:$B$52,MATCH($C726,'hp (pSv cm2)'!$A$2:$A$52,1)))/(INDEX('hp (pSv cm2)'!$A$2:$A$52,MATCH($C726,'hp (pSv cm2)'!$A$2:$A$52,1)+1)-INDEX('hp (pSv cm2)'!$A$2:$A$52,MATCH($C726,'hp (pSv cm2)'!$A$2:$A$52,1))),$C726*'hp (pSv cm2)'!$B$2/'hp (pSv cm2)'!$A$2)</f>
        <v>4.1015259999999998</v>
      </c>
      <c r="G726" s="67">
        <f t="shared" si="48"/>
        <v>1.078701338E-2</v>
      </c>
      <c r="H726" s="83">
        <f>_xlfn.IFNA(0.997*(INDEX('Mass attenuation coefficients'!$B$2:$B$37,MATCH($C726,'Mass attenuation coefficients'!$A$2:$A$37,1))+($C726-INDEX('Mass attenuation coefficients'!$A$2:$A$37,MATCH($C726,'Mass attenuation coefficients'!$A$2:$A$37,1)))*(INDEX('Mass attenuation coefficients'!$B$2:$B$37,MATCH($C726,'Mass attenuation coefficients'!$A$2:$A$37,1)+1)-INDEX('Mass attenuation coefficients'!$B$2:$B$37,MATCH($C726,'Mass attenuation coefficients'!$A$2:$A$37,1)))/(INDEX('Mass attenuation coefficients'!$A$2:$A$37,MATCH($C726,'Mass attenuation coefficients'!$A$2:$A$37,1)+1)-INDEX('Mass attenuation coefficients'!$A$2:$A$37,MATCH($C726,'Mass attenuation coefficients'!$A$2:$A$37,1)))),0.997*$C726*'Mass attenuation coefficients'!$B$2/'Mass attenuation coefficients'!$A$2)</f>
        <v>7.4549099241500008E-2</v>
      </c>
      <c r="I726" s="83">
        <f>_xlfn.IFNA(INDEX('Shultis Faw'!$C$2:$C$26,MATCH($C726,'Shultis Faw'!$A$2:$A$26,1))+($C726-INDEX('Shultis Faw'!$A$2:$A$26,MATCH($C726,'Shultis Faw'!$A$2:$A$26,1)))*(INDEX('Shultis Faw'!$C$2:$C$26,MATCH($C726,'Shultis Faw'!$A$2:$A$26,1)+1)-INDEX('Shultis Faw'!$C$2:$C$26,MATCH($C726,'Shultis Faw'!$A$2:$A$26,1)))/(INDEX('Shultis Faw'!$A$2:$A$26,MATCH($C726,'Shultis Faw'!$A$2:$A$26,1)+1)-INDEX('Shultis Faw'!$A$2:$A$26,MATCH($C726,'Shultis Faw'!$A$2:$A$26,1))),$C726*'Shultis Faw'!$C$2/'Shultis Faw'!$A$2)</f>
        <v>2.15871535</v>
      </c>
      <c r="J726" s="83">
        <f>_xlfn.IFNA(INDEX('Shultis Faw'!$D$2:$D$26,MATCH($C726,'Shultis Faw'!$A$2:$A$26,1))+($C726-INDEX('Shultis Faw'!$A$2:$A$26,MATCH($C726,'Shultis Faw'!$A$2:$A$26,1)))*(INDEX('Shultis Faw'!$D$2:$D$26,MATCH($C726,'Shultis Faw'!$A$2:$A$26,1)+1)-INDEX('Shultis Faw'!$D$2:$D$26,MATCH($C726,'Shultis Faw'!$A$2:$A$26,1)))/(INDEX('Shultis Faw'!$A$2:$A$26,MATCH($C726,'Shultis Faw'!$A$2:$A$26,1)+1)-INDEX('Shultis Faw'!$A$2:$A$26,MATCH($C726,'Shultis Faw'!$A$2:$A$26,1))),$C726*'Shultis Faw'!$D$2/'Shultis Faw'!$A$2)</f>
        <v>1.49364845</v>
      </c>
      <c r="K726" s="83">
        <f>_xlfn.IFNA(INDEX('Shultis Faw'!$B$2:$B$26,MATCH($C726,'Shultis Faw'!$A$2:$A$26,1))+($C726-INDEX('Shultis Faw'!$A$2:$A$26,MATCH($C726,'Shultis Faw'!$A$2:$A$26,1)))*(INDEX('Shultis Faw'!$B$2:$B$26,MATCH($C726,'Shultis Faw'!$A$2:$A$26,1)+1)-INDEX('Shultis Faw'!$B$2:$B$26,MATCH($C726,'Shultis Faw'!$A$2:$A$26,1)))/(INDEX('Shultis Faw'!$A$2:$A$26,MATCH($C726,'Shultis Faw'!$A$2:$A$26,1)+1)-INDEX('Shultis Faw'!$A$2:$A$26,MATCH($C726,'Shultis Faw'!$A$2:$A$26,1))),$C726*'Shultis Faw'!$B$2/'Shultis Faw'!$A$2)</f>
        <v>-9.7178399999999998E-2</v>
      </c>
      <c r="L726" s="83">
        <f>_xlfn.IFNA(INDEX('Shultis Faw'!$E$2:$E$26,MATCH($C726,'Shultis Faw'!$A$2:$A$26,1))+($C726-INDEX('Shultis Faw'!$A$2:$A$26,MATCH($C726,'Shultis Faw'!$A$2:$A$26,1)))*(INDEX('Shultis Faw'!$E$2:$E$26,MATCH($C726,'Shultis Faw'!$A$2:$A$26,1)+1)-INDEX('Shultis Faw'!$E$2:$E$26,MATCH($C726,'Shultis Faw'!$A$2:$A$26,1)))/(INDEX('Shultis Faw'!$A$2:$A$26,MATCH($C726,'Shultis Faw'!$A$2:$A$26,1)+1)-INDEX('Shultis Faw'!$A$2:$A$26,MATCH($C726,'Shultis Faw'!$A$2:$A$26,1))),$C726*'Shultis Faw'!$E$2/'Shultis Faw'!$A$2)</f>
        <v>4.0815785E-2</v>
      </c>
      <c r="M726" s="83">
        <f>_xlfn.IFNA(INDEX('Shultis Faw'!$F$2:$F$26,MATCH($C726,'Shultis Faw'!$A$2:$A$26,1))+($C726-INDEX('Shultis Faw'!$A$2:$A$26,MATCH($C726,'Shultis Faw'!$A$2:$A$26,1)))*(INDEX('Shultis Faw'!$F$2:$F$26,MATCH($C726,'Shultis Faw'!$A$2:$A$26,1)+1)-INDEX('Shultis Faw'!$F$2:$F$26,MATCH($C726,'Shultis Faw'!$A$2:$A$26,1)))/(INDEX('Shultis Faw'!$A$2:$A$26,MATCH($C726,'Shultis Faw'!$A$2:$A$26,1)+1)-INDEX('Shultis Faw'!$A$2:$A$26,MATCH($C726,'Shultis Faw'!$A$2:$A$26,1))),$C726*'Shultis Faw'!$F$2/'Shultis Faw'!$A$2)</f>
        <v>14.291561</v>
      </c>
      <c r="N726" s="83">
        <f>J726*(H726*'Externe blootstelling'!$D$23/2)^K726+L726*(TANH(((H726*'Externe blootstelling'!$D$23)/(2*M726))-2)-TANH(-2))/(1-TANH(-2))</f>
        <v>1.4776392209373934</v>
      </c>
      <c r="O726" s="83">
        <f>IF(N726=1,1+(I726-1)*H726*'Externe blootstelling'!$D$23/2,1+(I726-1)*(N726^(H726*'Externe blootstelling'!$D$23/2)-1)/(N726-1))</f>
        <v>2.3280791154504015</v>
      </c>
      <c r="P726" s="67">
        <f>G726*EXP(-H726*'Externe blootstelling'!$D$23/2)*O726</f>
        <v>8.208333927236312E-3</v>
      </c>
      <c r="Q726" s="68"/>
    </row>
    <row r="727" spans="1:17" x14ac:dyDescent="0.2">
      <c r="A727" s="78"/>
      <c r="B727" s="64"/>
      <c r="C727" s="66"/>
      <c r="D727" s="66"/>
      <c r="E727" s="66"/>
      <c r="F727" s="66"/>
      <c r="G727" s="67"/>
      <c r="H727" s="83"/>
      <c r="I727" s="83"/>
      <c r="J727" s="83"/>
      <c r="K727" s="83"/>
      <c r="L727" s="83"/>
      <c r="M727" s="83"/>
      <c r="N727" s="83"/>
      <c r="O727" s="83"/>
      <c r="P727" s="67"/>
      <c r="Q727" s="67">
        <f>SUM(P559:P726)/SUM(G559:G726)</f>
        <v>0.95846657958832937</v>
      </c>
    </row>
    <row r="728" spans="1:17" s="62" customFormat="1" ht="12" thickBot="1" x14ac:dyDescent="0.25">
      <c r="A728" s="79"/>
      <c r="B728" s="70"/>
      <c r="C728" s="71"/>
      <c r="D728" s="71"/>
      <c r="E728" s="71"/>
      <c r="F728" s="71"/>
      <c r="G728" s="73"/>
      <c r="H728" s="84"/>
      <c r="I728" s="84"/>
      <c r="J728" s="84"/>
      <c r="K728" s="84"/>
      <c r="L728" s="84"/>
      <c r="M728" s="84"/>
      <c r="N728" s="84"/>
      <c r="O728" s="84"/>
      <c r="P728" s="73"/>
      <c r="Q728" s="73"/>
    </row>
    <row r="729" spans="1:17" x14ac:dyDescent="0.2">
      <c r="A729" s="219" t="s">
        <v>157</v>
      </c>
      <c r="B729" s="64" t="s">
        <v>104</v>
      </c>
      <c r="C729" s="66">
        <v>4.47E-3</v>
      </c>
      <c r="D729" s="66">
        <f t="shared" ref="D729:D792" si="49">C729*1000000*1.6E-19</f>
        <v>7.1519999999999997E-16</v>
      </c>
      <c r="E729" s="66">
        <v>6.3999999999999991E-8</v>
      </c>
      <c r="F729" s="66">
        <f>_xlfn.IFNA(INDEX('hp (pSv cm2)'!$B$2:$B$52,MATCH($C729,'hp (pSv cm2)'!$A$2:$A$52,1))+($C729-INDEX('hp (pSv cm2)'!$A$2:$A$52,MATCH($C729,'hp (pSv cm2)'!$A$2:$A$52,1)))*(INDEX('hp (pSv cm2)'!$B$2:$B$52,MATCH($C729,'hp (pSv cm2)'!$A$2:$A$52,1)+1)-INDEX('hp (pSv cm2)'!$B$2:$B$52,MATCH($C729,'hp (pSv cm2)'!$A$2:$A$52,1)))/(INDEX('hp (pSv cm2)'!$A$2:$A$52,MATCH($C729,'hp (pSv cm2)'!$A$2:$A$52,1)+1)-INDEX('hp (pSv cm2)'!$A$2:$A$52,MATCH($C729,'hp (pSv cm2)'!$A$2:$A$52,1))),$C729*'hp (pSv cm2)'!$B$2/'hp (pSv cm2)'!$A$2)</f>
        <v>1.19796E-2</v>
      </c>
      <c r="G729" s="67">
        <f t="shared" ref="G729:G760" si="50">F729*E729</f>
        <v>7.6669439999999992E-10</v>
      </c>
      <c r="H729" s="83">
        <f>_xlfn.IFNA(0.997*(INDEX('Mass attenuation coefficients'!$B$2:$B$37,MATCH($C729,'Mass attenuation coefficients'!$A$2:$A$37,1))+($C729-INDEX('Mass attenuation coefficients'!$A$2:$A$37,MATCH($C729,'Mass attenuation coefficients'!$A$2:$A$37,1)))*(INDEX('Mass attenuation coefficients'!$B$2:$B$37,MATCH($C729,'Mass attenuation coefficients'!$A$2:$A$37,1)+1)-INDEX('Mass attenuation coefficients'!$B$2:$B$37,MATCH($C729,'Mass attenuation coefficients'!$A$2:$A$37,1)))/(INDEX('Mass attenuation coefficients'!$A$2:$A$37,MATCH($C729,'Mass attenuation coefficients'!$A$2:$A$37,1)+1)-INDEX('Mass attenuation coefficients'!$A$2:$A$37,MATCH($C729,'Mass attenuation coefficients'!$A$2:$A$37,1)))),0.997*$C729*'Mass attenuation coefficients'!$B$2/'Mass attenuation coefficients'!$A$2)</f>
        <v>63.694342000000006</v>
      </c>
      <c r="I729" s="83">
        <f>_xlfn.IFNA(INDEX('Shultis Faw'!$C$2:$C$26,MATCH($C729,'Shultis Faw'!$A$2:$A$26,1))+($C729-INDEX('Shultis Faw'!$A$2:$A$26,MATCH($C729,'Shultis Faw'!$A$2:$A$26,1)))*(INDEX('Shultis Faw'!$C$2:$C$26,MATCH($C729,'Shultis Faw'!$A$2:$A$26,1)+1)-INDEX('Shultis Faw'!$C$2:$C$26,MATCH($C729,'Shultis Faw'!$A$2:$A$26,1)))/(INDEX('Shultis Faw'!$A$2:$A$26,MATCH($C729,'Shultis Faw'!$A$2:$A$26,1)+1)-INDEX('Shultis Faw'!$A$2:$A$26,MATCH($C729,'Shultis Faw'!$A$2:$A$26,1))),$C729*'Shultis Faw'!$C$2/'Shultis Faw'!$A$2)</f>
        <v>0.35223599999999999</v>
      </c>
      <c r="J729" s="83">
        <f>_xlfn.IFNA(INDEX('Shultis Faw'!$D$2:$D$26,MATCH($C729,'Shultis Faw'!$A$2:$A$26,1))+($C729-INDEX('Shultis Faw'!$A$2:$A$26,MATCH($C729,'Shultis Faw'!$A$2:$A$26,1)))*(INDEX('Shultis Faw'!$D$2:$D$26,MATCH($C729,'Shultis Faw'!$A$2:$A$26,1)+1)-INDEX('Shultis Faw'!$D$2:$D$26,MATCH($C729,'Shultis Faw'!$A$2:$A$26,1)))/(INDEX('Shultis Faw'!$A$2:$A$26,MATCH($C729,'Shultis Faw'!$A$2:$A$26,1)+1)-INDEX('Shultis Faw'!$A$2:$A$26,MATCH($C729,'Shultis Faw'!$A$2:$A$26,1))),$C729*'Shultis Faw'!$D$2/'Shultis Faw'!$A$2)</f>
        <v>0.13797400000000001</v>
      </c>
      <c r="K729" s="83">
        <f>_xlfn.IFNA(INDEX('Shultis Faw'!$B$2:$B$26,MATCH($C729,'Shultis Faw'!$A$2:$A$26,1))+($C729-INDEX('Shultis Faw'!$A$2:$A$26,MATCH($C729,'Shultis Faw'!$A$2:$A$26,1)))*(INDEX('Shultis Faw'!$B$2:$B$26,MATCH($C729,'Shultis Faw'!$A$2:$A$26,1)+1)-INDEX('Shultis Faw'!$B$2:$B$26,MATCH($C729,'Shultis Faw'!$A$2:$A$26,1)))/(INDEX('Shultis Faw'!$A$2:$A$26,MATCH($C729,'Shultis Faw'!$A$2:$A$26,1)+1)-INDEX('Shultis Faw'!$A$2:$A$26,MATCH($C729,'Shultis Faw'!$A$2:$A$26,1))),$C729*'Shultis Faw'!$B$2/'Shultis Faw'!$A$2)</f>
        <v>5.1255999999999996E-2</v>
      </c>
      <c r="L729" s="83">
        <f>_xlfn.IFNA(INDEX('Shultis Faw'!$E$2:$E$26,MATCH($C729,'Shultis Faw'!$A$2:$A$26,1))+($C729-INDEX('Shultis Faw'!$A$2:$A$26,MATCH($C729,'Shultis Faw'!$A$2:$A$26,1)))*(INDEX('Shultis Faw'!$E$2:$E$26,MATCH($C729,'Shultis Faw'!$A$2:$A$26,1)+1)-INDEX('Shultis Faw'!$E$2:$E$26,MATCH($C729,'Shultis Faw'!$A$2:$A$26,1)))/(INDEX('Shultis Faw'!$A$2:$A$26,MATCH($C729,'Shultis Faw'!$A$2:$A$26,1)+1)-INDEX('Shultis Faw'!$A$2:$A$26,MATCH($C729,'Shultis Faw'!$A$2:$A$26,1))),$C729*'Shultis Faw'!$E$2/'Shultis Faw'!$A$2)</f>
        <v>-2.70584E-2</v>
      </c>
      <c r="M729" s="83">
        <f>_xlfn.IFNA(INDEX('Shultis Faw'!$F$2:$F$26,MATCH($C729,'Shultis Faw'!$A$2:$A$26,1))+($C729-INDEX('Shultis Faw'!$A$2:$A$26,MATCH($C729,'Shultis Faw'!$A$2:$A$26,1)))*(INDEX('Shultis Faw'!$F$2:$F$26,MATCH($C729,'Shultis Faw'!$A$2:$A$26,1)+1)-INDEX('Shultis Faw'!$F$2:$F$26,MATCH($C729,'Shultis Faw'!$A$2:$A$26,1)))/(INDEX('Shultis Faw'!$A$2:$A$26,MATCH($C729,'Shultis Faw'!$A$2:$A$26,1)+1)-INDEX('Shultis Faw'!$A$2:$A$26,MATCH($C729,'Shultis Faw'!$A$2:$A$26,1))),$C729*'Shultis Faw'!$F$2/'Shultis Faw'!$A$2)</f>
        <v>4.2405400000000002</v>
      </c>
      <c r="N729" s="83">
        <f>J729*(H729*'Externe blootstelling'!$D$23/2)^K729+L729*(TANH(((H729*'Externe blootstelling'!$D$23)/(2*M729))-2)-TANH(-2))/(1-TANH(-2))</f>
        <v>0.16907428878217096</v>
      </c>
      <c r="O729" s="83">
        <f>IF(N729=1,1+(I729-1)*H729*'Externe blootstelling'!$D$23/2,1+(I729-1)*(N729^(H729*'Externe blootstelling'!$D$23/2)-1)/(N729-1))</f>
        <v>0.22043091066394105</v>
      </c>
      <c r="P729" s="67">
        <f>G729*EXP(-H729*'Externe blootstelling'!$D$23/2)*O729</f>
        <v>0</v>
      </c>
      <c r="Q729" s="68"/>
    </row>
    <row r="730" spans="1:17" x14ac:dyDescent="0.2">
      <c r="A730" s="220"/>
      <c r="B730" s="64" t="s">
        <v>104</v>
      </c>
      <c r="C730" s="66">
        <v>9.9000000000000008E-3</v>
      </c>
      <c r="D730" s="66">
        <f t="shared" si="49"/>
        <v>1.5839999999999999E-15</v>
      </c>
      <c r="E730" s="66">
        <v>1.5800000000000002E-4</v>
      </c>
      <c r="F730" s="66">
        <f>_xlfn.IFNA(INDEX('hp (pSv cm2)'!$B$2:$B$52,MATCH($C730,'hp (pSv cm2)'!$A$2:$A$52,1))+($C730-INDEX('hp (pSv cm2)'!$A$2:$A$52,MATCH($C730,'hp (pSv cm2)'!$A$2:$A$52,1)))*(INDEX('hp (pSv cm2)'!$B$2:$B$52,MATCH($C730,'hp (pSv cm2)'!$A$2:$A$52,1)+1)-INDEX('hp (pSv cm2)'!$B$2:$B$52,MATCH($C730,'hp (pSv cm2)'!$A$2:$A$52,1)))/(INDEX('hp (pSv cm2)'!$A$2:$A$52,MATCH($C730,'hp (pSv cm2)'!$A$2:$A$52,1)+1)-INDEX('hp (pSv cm2)'!$A$2:$A$52,MATCH($C730,'hp (pSv cm2)'!$A$2:$A$52,1))),$C730*'hp (pSv cm2)'!$B$2/'hp (pSv cm2)'!$A$2)</f>
        <v>6.6550000000000026E-2</v>
      </c>
      <c r="G730" s="67">
        <f t="shared" si="50"/>
        <v>1.0514900000000005E-5</v>
      </c>
      <c r="H730" s="83">
        <f>_xlfn.IFNA(0.997*(INDEX('Mass attenuation coefficients'!$B$2:$B$37,MATCH($C730,'Mass attenuation coefficients'!$A$2:$A$37,1))+($C730-INDEX('Mass attenuation coefficients'!$A$2:$A$37,MATCH($C730,'Mass attenuation coefficients'!$A$2:$A$37,1)))*(INDEX('Mass attenuation coefficients'!$B$2:$B$37,MATCH($C730,'Mass attenuation coefficients'!$A$2:$A$37,1)+1)-INDEX('Mass attenuation coefficients'!$B$2:$B$37,MATCH($C730,'Mass attenuation coefficients'!$A$2:$A$37,1)))/(INDEX('Mass attenuation coefficients'!$A$2:$A$37,MATCH($C730,'Mass attenuation coefficients'!$A$2:$A$37,1)+1)-INDEX('Mass attenuation coefficients'!$A$2:$A$37,MATCH($C730,'Mass attenuation coefficients'!$A$2:$A$37,1)))),0.997*$C730*'Mass attenuation coefficients'!$B$2/'Mass attenuation coefficients'!$A$2)</f>
        <v>5.5643068499999986</v>
      </c>
      <c r="I730" s="83">
        <f>_xlfn.IFNA(INDEX('Shultis Faw'!$C$2:$C$26,MATCH($C730,'Shultis Faw'!$A$2:$A$26,1))+($C730-INDEX('Shultis Faw'!$A$2:$A$26,MATCH($C730,'Shultis Faw'!$A$2:$A$26,1)))*(INDEX('Shultis Faw'!$C$2:$C$26,MATCH($C730,'Shultis Faw'!$A$2:$A$26,1)+1)-INDEX('Shultis Faw'!$C$2:$C$26,MATCH($C730,'Shultis Faw'!$A$2:$A$26,1)))/(INDEX('Shultis Faw'!$A$2:$A$26,MATCH($C730,'Shultis Faw'!$A$2:$A$26,1)+1)-INDEX('Shultis Faw'!$A$2:$A$26,MATCH($C730,'Shultis Faw'!$A$2:$A$26,1))),$C730*'Shultis Faw'!$C$2/'Shultis Faw'!$A$2)</f>
        <v>0.78012000000000004</v>
      </c>
      <c r="J730" s="83">
        <f>_xlfn.IFNA(INDEX('Shultis Faw'!$D$2:$D$26,MATCH($C730,'Shultis Faw'!$A$2:$A$26,1))+($C730-INDEX('Shultis Faw'!$A$2:$A$26,MATCH($C730,'Shultis Faw'!$A$2:$A$26,1)))*(INDEX('Shultis Faw'!$D$2:$D$26,MATCH($C730,'Shultis Faw'!$A$2:$A$26,1)+1)-INDEX('Shultis Faw'!$D$2:$D$26,MATCH($C730,'Shultis Faw'!$A$2:$A$26,1)))/(INDEX('Shultis Faw'!$A$2:$A$26,MATCH($C730,'Shultis Faw'!$A$2:$A$26,1)+1)-INDEX('Shultis Faw'!$A$2:$A$26,MATCH($C730,'Shultis Faw'!$A$2:$A$26,1))),$C730*'Shultis Faw'!$D$2/'Shultis Faw'!$A$2)</f>
        <v>0.30558000000000002</v>
      </c>
      <c r="K730" s="83">
        <f>_xlfn.IFNA(INDEX('Shultis Faw'!$B$2:$B$26,MATCH($C730,'Shultis Faw'!$A$2:$A$26,1))+($C730-INDEX('Shultis Faw'!$A$2:$A$26,MATCH($C730,'Shultis Faw'!$A$2:$A$26,1)))*(INDEX('Shultis Faw'!$B$2:$B$26,MATCH($C730,'Shultis Faw'!$A$2:$A$26,1)+1)-INDEX('Shultis Faw'!$B$2:$B$26,MATCH($C730,'Shultis Faw'!$A$2:$A$26,1)))/(INDEX('Shultis Faw'!$A$2:$A$26,MATCH($C730,'Shultis Faw'!$A$2:$A$26,1)+1)-INDEX('Shultis Faw'!$A$2:$A$26,MATCH($C730,'Shultis Faw'!$A$2:$A$26,1))),$C730*'Shultis Faw'!$B$2/'Shultis Faw'!$A$2)</f>
        <v>0.11352</v>
      </c>
      <c r="L730" s="83">
        <f>_xlfn.IFNA(INDEX('Shultis Faw'!$E$2:$E$26,MATCH($C730,'Shultis Faw'!$A$2:$A$26,1))+($C730-INDEX('Shultis Faw'!$A$2:$A$26,MATCH($C730,'Shultis Faw'!$A$2:$A$26,1)))*(INDEX('Shultis Faw'!$E$2:$E$26,MATCH($C730,'Shultis Faw'!$A$2:$A$26,1)+1)-INDEX('Shultis Faw'!$E$2:$E$26,MATCH($C730,'Shultis Faw'!$A$2:$A$26,1)))/(INDEX('Shultis Faw'!$A$2:$A$26,MATCH($C730,'Shultis Faw'!$A$2:$A$26,1)+1)-INDEX('Shultis Faw'!$A$2:$A$26,MATCH($C730,'Shultis Faw'!$A$2:$A$26,1))),$C730*'Shultis Faw'!$E$2/'Shultis Faw'!$A$2)</f>
        <v>-5.9928000000000009E-2</v>
      </c>
      <c r="M730" s="83">
        <f>_xlfn.IFNA(INDEX('Shultis Faw'!$F$2:$F$26,MATCH($C730,'Shultis Faw'!$A$2:$A$26,1))+($C730-INDEX('Shultis Faw'!$A$2:$A$26,MATCH($C730,'Shultis Faw'!$A$2:$A$26,1)))*(INDEX('Shultis Faw'!$F$2:$F$26,MATCH($C730,'Shultis Faw'!$A$2:$A$26,1)+1)-INDEX('Shultis Faw'!$F$2:$F$26,MATCH($C730,'Shultis Faw'!$A$2:$A$26,1)))/(INDEX('Shultis Faw'!$A$2:$A$26,MATCH($C730,'Shultis Faw'!$A$2:$A$26,1)+1)-INDEX('Shultis Faw'!$A$2:$A$26,MATCH($C730,'Shultis Faw'!$A$2:$A$26,1))),$C730*'Shultis Faw'!$F$2/'Shultis Faw'!$A$2)</f>
        <v>9.3917999999999999</v>
      </c>
      <c r="N730" s="83">
        <f>J730*(H730*'Externe blootstelling'!$D$23/2)^K730+L730*(TANH(((H730*'Externe blootstelling'!$D$23)/(2*M730))-2)-TANH(-2))/(1-TANH(-2))</f>
        <v>0.44502845218029186</v>
      </c>
      <c r="O730" s="83">
        <f>IF(N730=1,1+(I730-1)*H730*'Externe blootstelling'!$D$23/2,1+(I730-1)*(N730^(H730*'Externe blootstelling'!$D$23/2)-1)/(N730-1))</f>
        <v>0.60379950852645936</v>
      </c>
      <c r="P730" s="67">
        <f>G730*EXP(-H730*'Externe blootstelling'!$D$23/2)*O730</f>
        <v>3.5849367143487404E-42</v>
      </c>
      <c r="Q730" s="68"/>
    </row>
    <row r="731" spans="1:17" x14ac:dyDescent="0.2">
      <c r="A731" s="220"/>
      <c r="B731" s="64" t="s">
        <v>102</v>
      </c>
      <c r="C731" s="66">
        <v>1.36975E-2</v>
      </c>
      <c r="D731" s="66">
        <f t="shared" si="49"/>
        <v>2.1916E-15</v>
      </c>
      <c r="E731" s="66">
        <v>0.221</v>
      </c>
      <c r="F731" s="66">
        <f>_xlfn.IFNA(INDEX('hp (pSv cm2)'!$B$2:$B$52,MATCH($C731,'hp (pSv cm2)'!$A$2:$A$52,1))+($C731-INDEX('hp (pSv cm2)'!$A$2:$A$52,MATCH($C731,'hp (pSv cm2)'!$A$2:$A$52,1)))*(INDEX('hp (pSv cm2)'!$B$2:$B$52,MATCH($C731,'hp (pSv cm2)'!$A$2:$A$52,1)+1)-INDEX('hp (pSv cm2)'!$B$2:$B$52,MATCH($C731,'hp (pSv cm2)'!$A$2:$A$52,1)))/(INDEX('hp (pSv cm2)'!$A$2:$A$52,MATCH($C731,'hp (pSv cm2)'!$A$2:$A$52,1)+1)-INDEX('hp (pSv cm2)'!$A$2:$A$52,MATCH($C731,'hp (pSv cm2)'!$A$2:$A$52,1))),$C731*'hp (pSv cm2)'!$B$2/'hp (pSv cm2)'!$A$2)</f>
        <v>0.13385749999999999</v>
      </c>
      <c r="G731" s="67">
        <f t="shared" si="50"/>
        <v>2.9582507499999997E-2</v>
      </c>
      <c r="H731" s="83">
        <f>_xlfn.IFNA(0.997*(INDEX('Mass attenuation coefficients'!$B$2:$B$37,MATCH($C731,'Mass attenuation coefficients'!$A$2:$A$37,1))+($C731-INDEX('Mass attenuation coefficients'!$A$2:$A$37,MATCH($C731,'Mass attenuation coefficients'!$A$2:$A$37,1)))*(INDEX('Mass attenuation coefficients'!$B$2:$B$37,MATCH($C731,'Mass attenuation coefficients'!$A$2:$A$37,1)+1)-INDEX('Mass attenuation coefficients'!$B$2:$B$37,MATCH($C731,'Mass attenuation coefficients'!$A$2:$A$37,1)))/(INDEX('Mass attenuation coefficients'!$A$2:$A$37,MATCH($C731,'Mass attenuation coefficients'!$A$2:$A$37,1)+1)-INDEX('Mass attenuation coefficients'!$A$2:$A$37,MATCH($C731,'Mass attenuation coefficients'!$A$2:$A$37,1)))),0.997*$C731*'Mass attenuation coefficients'!$B$2/'Mass attenuation coefficients'!$A$2)</f>
        <v>2.6175118360000003</v>
      </c>
      <c r="I731" s="83">
        <f>_xlfn.IFNA(INDEX('Shultis Faw'!$C$2:$C$26,MATCH($C731,'Shultis Faw'!$A$2:$A$26,1))+($C731-INDEX('Shultis Faw'!$A$2:$A$26,MATCH($C731,'Shultis Faw'!$A$2:$A$26,1)))*(INDEX('Shultis Faw'!$C$2:$C$26,MATCH($C731,'Shultis Faw'!$A$2:$A$26,1)+1)-INDEX('Shultis Faw'!$C$2:$C$26,MATCH($C731,'Shultis Faw'!$A$2:$A$26,1)))/(INDEX('Shultis Faw'!$A$2:$A$26,MATCH($C731,'Shultis Faw'!$A$2:$A$26,1)+1)-INDEX('Shultis Faw'!$A$2:$A$26,MATCH($C731,'Shultis Faw'!$A$2:$A$26,1))),$C731*'Shultis Faw'!$C$2/'Shultis Faw'!$A$2)</f>
        <v>1.0793629999999999</v>
      </c>
      <c r="J731" s="83">
        <f>_xlfn.IFNA(INDEX('Shultis Faw'!$D$2:$D$26,MATCH($C731,'Shultis Faw'!$A$2:$A$26,1))+($C731-INDEX('Shultis Faw'!$A$2:$A$26,MATCH($C731,'Shultis Faw'!$A$2:$A$26,1)))*(INDEX('Shultis Faw'!$D$2:$D$26,MATCH($C731,'Shultis Faw'!$A$2:$A$26,1)+1)-INDEX('Shultis Faw'!$D$2:$D$26,MATCH($C731,'Shultis Faw'!$A$2:$A$26,1)))/(INDEX('Shultis Faw'!$A$2:$A$26,MATCH($C731,'Shultis Faw'!$A$2:$A$26,1)+1)-INDEX('Shultis Faw'!$A$2:$A$26,MATCH($C731,'Shultis Faw'!$A$2:$A$26,1))),$C731*'Shultis Faw'!$D$2/'Shultis Faw'!$A$2)</f>
        <v>0.4227961666666667</v>
      </c>
      <c r="K731" s="83">
        <f>_xlfn.IFNA(INDEX('Shultis Faw'!$B$2:$B$26,MATCH($C731,'Shultis Faw'!$A$2:$A$26,1))+($C731-INDEX('Shultis Faw'!$A$2:$A$26,MATCH($C731,'Shultis Faw'!$A$2:$A$26,1)))*(INDEX('Shultis Faw'!$B$2:$B$26,MATCH($C731,'Shultis Faw'!$A$2:$A$26,1)+1)-INDEX('Shultis Faw'!$B$2:$B$26,MATCH($C731,'Shultis Faw'!$A$2:$A$26,1)))/(INDEX('Shultis Faw'!$A$2:$A$26,MATCH($C731,'Shultis Faw'!$A$2:$A$26,1)+1)-INDEX('Shultis Faw'!$A$2:$A$26,MATCH($C731,'Shultis Faw'!$A$2:$A$26,1))),$C731*'Shultis Faw'!$B$2/'Shultis Faw'!$A$2)</f>
        <v>0.15706466666666666</v>
      </c>
      <c r="L731" s="83">
        <f>_xlfn.IFNA(INDEX('Shultis Faw'!$E$2:$E$26,MATCH($C731,'Shultis Faw'!$A$2:$A$26,1))+($C731-INDEX('Shultis Faw'!$A$2:$A$26,MATCH($C731,'Shultis Faw'!$A$2:$A$26,1)))*(INDEX('Shultis Faw'!$E$2:$E$26,MATCH($C731,'Shultis Faw'!$A$2:$A$26,1)+1)-INDEX('Shultis Faw'!$E$2:$E$26,MATCH($C731,'Shultis Faw'!$A$2:$A$26,1)))/(INDEX('Shultis Faw'!$A$2:$A$26,MATCH($C731,'Shultis Faw'!$A$2:$A$26,1)+1)-INDEX('Shultis Faw'!$A$2:$A$26,MATCH($C731,'Shultis Faw'!$A$2:$A$26,1))),$C731*'Shultis Faw'!$E$2/'Shultis Faw'!$A$2)</f>
        <v>-8.2915533333333347E-2</v>
      </c>
      <c r="M731" s="83">
        <f>_xlfn.IFNA(INDEX('Shultis Faw'!$F$2:$F$26,MATCH($C731,'Shultis Faw'!$A$2:$A$26,1))+($C731-INDEX('Shultis Faw'!$A$2:$A$26,MATCH($C731,'Shultis Faw'!$A$2:$A$26,1)))*(INDEX('Shultis Faw'!$F$2:$F$26,MATCH($C731,'Shultis Faw'!$A$2:$A$26,1)+1)-INDEX('Shultis Faw'!$F$2:$F$26,MATCH($C731,'Shultis Faw'!$A$2:$A$26,1)))/(INDEX('Shultis Faw'!$A$2:$A$26,MATCH($C731,'Shultis Faw'!$A$2:$A$26,1)+1)-INDEX('Shultis Faw'!$A$2:$A$26,MATCH($C731,'Shultis Faw'!$A$2:$A$26,1))),$C731*'Shultis Faw'!$F$2/'Shultis Faw'!$A$2)</f>
        <v>12.994361666666668</v>
      </c>
      <c r="N731" s="83">
        <f>J731*(H731*'Externe blootstelling'!$D$23/2)^K731+L731*(TANH(((H731*'Externe blootstelling'!$D$23)/(2*M731))-2)-TANH(-2))/(1-TANH(-2))</f>
        <v>0.67924359708791515</v>
      </c>
      <c r="O731" s="83">
        <f>IF(N731=1,1+(I731-1)*H731*'Externe blootstelling'!$D$23/2,1+(I731-1)*(N731^(H731*'Externe blootstelling'!$D$23/2)-1)/(N731-1))</f>
        <v>1.2474244601804734</v>
      </c>
      <c r="P731" s="67">
        <f>G731*EXP(-H731*'Externe blootstelling'!$D$23/2)*O731</f>
        <v>3.2770648716145185E-19</v>
      </c>
      <c r="Q731" s="68"/>
    </row>
    <row r="732" spans="1:17" x14ac:dyDescent="0.2">
      <c r="A732" s="220"/>
      <c r="B732" s="64" t="s">
        <v>104</v>
      </c>
      <c r="C732" s="66">
        <v>1.4369999999999999E-2</v>
      </c>
      <c r="D732" s="66">
        <f t="shared" si="49"/>
        <v>2.2992E-15</v>
      </c>
      <c r="E732" s="66">
        <v>1.85E-4</v>
      </c>
      <c r="F732" s="66">
        <f>_xlfn.IFNA(INDEX('hp (pSv cm2)'!$B$2:$B$52,MATCH($C732,'hp (pSv cm2)'!$A$2:$A$52,1))+($C732-INDEX('hp (pSv cm2)'!$A$2:$A$52,MATCH($C732,'hp (pSv cm2)'!$A$2:$A$52,1)))*(INDEX('hp (pSv cm2)'!$B$2:$B$52,MATCH($C732,'hp (pSv cm2)'!$A$2:$A$52,1)+1)-INDEX('hp (pSv cm2)'!$B$2:$B$52,MATCH($C732,'hp (pSv cm2)'!$A$2:$A$52,1)))/(INDEX('hp (pSv cm2)'!$A$2:$A$52,MATCH($C732,'hp (pSv cm2)'!$A$2:$A$52,1)+1)-INDEX('hp (pSv cm2)'!$A$2:$A$52,MATCH($C732,'hp (pSv cm2)'!$A$2:$A$52,1))),$C732*'hp (pSv cm2)'!$B$2/'hp (pSv cm2)'!$A$2)</f>
        <v>0.14529</v>
      </c>
      <c r="G732" s="67">
        <f t="shared" si="50"/>
        <v>2.6878650000000001E-5</v>
      </c>
      <c r="H732" s="83">
        <f>_xlfn.IFNA(0.997*(INDEX('Mass attenuation coefficients'!$B$2:$B$37,MATCH($C732,'Mass attenuation coefficients'!$A$2:$A$37,1))+($C732-INDEX('Mass attenuation coefficients'!$A$2:$A$37,MATCH($C732,'Mass attenuation coefficients'!$A$2:$A$37,1)))*(INDEX('Mass attenuation coefficients'!$B$2:$B$37,MATCH($C732,'Mass attenuation coefficients'!$A$2:$A$37,1)+1)-INDEX('Mass attenuation coefficients'!$B$2:$B$37,MATCH($C732,'Mass attenuation coefficients'!$A$2:$A$37,1)))/(INDEX('Mass attenuation coefficients'!$A$2:$A$37,MATCH($C732,'Mass attenuation coefficients'!$A$2:$A$37,1)+1)-INDEX('Mass attenuation coefficients'!$A$2:$A$37,MATCH($C732,'Mass attenuation coefficients'!$A$2:$A$37,1)))),0.997*$C732*'Mass attenuation coefficients'!$B$2/'Mass attenuation coefficients'!$A$2)</f>
        <v>2.1272550320000008</v>
      </c>
      <c r="I732" s="83">
        <f>_xlfn.IFNA(INDEX('Shultis Faw'!$C$2:$C$26,MATCH($C732,'Shultis Faw'!$A$2:$A$26,1))+($C732-INDEX('Shultis Faw'!$A$2:$A$26,MATCH($C732,'Shultis Faw'!$A$2:$A$26,1)))*(INDEX('Shultis Faw'!$C$2:$C$26,MATCH($C732,'Shultis Faw'!$A$2:$A$26,1)+1)-INDEX('Shultis Faw'!$C$2:$C$26,MATCH($C732,'Shultis Faw'!$A$2:$A$26,1)))/(INDEX('Shultis Faw'!$A$2:$A$26,MATCH($C732,'Shultis Faw'!$A$2:$A$26,1)+1)-INDEX('Shultis Faw'!$A$2:$A$26,MATCH($C732,'Shultis Faw'!$A$2:$A$26,1))),$C732*'Shultis Faw'!$C$2/'Shultis Faw'!$A$2)</f>
        <v>1.1323559999999999</v>
      </c>
      <c r="J732" s="83">
        <f>_xlfn.IFNA(INDEX('Shultis Faw'!$D$2:$D$26,MATCH($C732,'Shultis Faw'!$A$2:$A$26,1))+($C732-INDEX('Shultis Faw'!$A$2:$A$26,MATCH($C732,'Shultis Faw'!$A$2:$A$26,1)))*(INDEX('Shultis Faw'!$D$2:$D$26,MATCH($C732,'Shultis Faw'!$A$2:$A$26,1)+1)-INDEX('Shultis Faw'!$D$2:$D$26,MATCH($C732,'Shultis Faw'!$A$2:$A$26,1)))/(INDEX('Shultis Faw'!$A$2:$A$26,MATCH($C732,'Shultis Faw'!$A$2:$A$26,1)+1)-INDEX('Shultis Faw'!$A$2:$A$26,MATCH($C732,'Shultis Faw'!$A$2:$A$26,1))),$C732*'Shultis Faw'!$D$2/'Shultis Faw'!$A$2)</f>
        <v>0.443554</v>
      </c>
      <c r="K732" s="83">
        <f>_xlfn.IFNA(INDEX('Shultis Faw'!$B$2:$B$26,MATCH($C732,'Shultis Faw'!$A$2:$A$26,1))+($C732-INDEX('Shultis Faw'!$A$2:$A$26,MATCH($C732,'Shultis Faw'!$A$2:$A$26,1)))*(INDEX('Shultis Faw'!$B$2:$B$26,MATCH($C732,'Shultis Faw'!$A$2:$A$26,1)+1)-INDEX('Shultis Faw'!$B$2:$B$26,MATCH($C732,'Shultis Faw'!$A$2:$A$26,1)))/(INDEX('Shultis Faw'!$A$2:$A$26,MATCH($C732,'Shultis Faw'!$A$2:$A$26,1)+1)-INDEX('Shultis Faw'!$A$2:$A$26,MATCH($C732,'Shultis Faw'!$A$2:$A$26,1))),$C732*'Shultis Faw'!$B$2/'Shultis Faw'!$A$2)</f>
        <v>0.16477599999999998</v>
      </c>
      <c r="L732" s="83">
        <f>_xlfn.IFNA(INDEX('Shultis Faw'!$E$2:$E$26,MATCH($C732,'Shultis Faw'!$A$2:$A$26,1))+($C732-INDEX('Shultis Faw'!$A$2:$A$26,MATCH($C732,'Shultis Faw'!$A$2:$A$26,1)))*(INDEX('Shultis Faw'!$E$2:$E$26,MATCH($C732,'Shultis Faw'!$A$2:$A$26,1)+1)-INDEX('Shultis Faw'!$E$2:$E$26,MATCH($C732,'Shultis Faw'!$A$2:$A$26,1)))/(INDEX('Shultis Faw'!$A$2:$A$26,MATCH($C732,'Shultis Faw'!$A$2:$A$26,1)+1)-INDEX('Shultis Faw'!$A$2:$A$26,MATCH($C732,'Shultis Faw'!$A$2:$A$26,1))),$C732*'Shultis Faw'!$E$2/'Shultis Faw'!$A$2)</f>
        <v>-8.6986400000000005E-2</v>
      </c>
      <c r="M732" s="83">
        <f>_xlfn.IFNA(INDEX('Shultis Faw'!$F$2:$F$26,MATCH($C732,'Shultis Faw'!$A$2:$A$26,1))+($C732-INDEX('Shultis Faw'!$A$2:$A$26,MATCH($C732,'Shultis Faw'!$A$2:$A$26,1)))*(INDEX('Shultis Faw'!$F$2:$F$26,MATCH($C732,'Shultis Faw'!$A$2:$A$26,1)+1)-INDEX('Shultis Faw'!$F$2:$F$26,MATCH($C732,'Shultis Faw'!$A$2:$A$26,1)))/(INDEX('Shultis Faw'!$A$2:$A$26,MATCH($C732,'Shultis Faw'!$A$2:$A$26,1)+1)-INDEX('Shultis Faw'!$A$2:$A$26,MATCH($C732,'Shultis Faw'!$A$2:$A$26,1))),$C732*'Shultis Faw'!$F$2/'Shultis Faw'!$A$2)</f>
        <v>13.632340000000001</v>
      </c>
      <c r="N732" s="83">
        <f>J732*(H732*'Externe blootstelling'!$D$23/2)^K732+L732*(TANH(((H732*'Externe blootstelling'!$D$23)/(2*M732))-2)-TANH(-2))/(1-TANH(-2))</f>
        <v>0.72756558026205531</v>
      </c>
      <c r="O732" s="83">
        <f>IF(N732=1,1+(I732-1)*H732*'Externe blootstelling'!$D$23/2,1+(I732-1)*(N732^(H732*'Externe blootstelling'!$D$23/2)-1)/(N732-1))</f>
        <v>1.4858080015219248</v>
      </c>
      <c r="P732" s="67">
        <f>G732*EXP(-H732*'Externe blootstelling'!$D$23/2)*O732</f>
        <v>5.5404279947885861E-19</v>
      </c>
      <c r="Q732" s="68"/>
    </row>
    <row r="733" spans="1:17" x14ac:dyDescent="0.2">
      <c r="A733" s="220"/>
      <c r="B733" s="64" t="s">
        <v>104</v>
      </c>
      <c r="C733" s="66">
        <v>3.1870000000000002E-2</v>
      </c>
      <c r="D733" s="66">
        <f t="shared" si="49"/>
        <v>5.0992000000000005E-15</v>
      </c>
      <c r="E733" s="66">
        <v>1.0500000000000001E-6</v>
      </c>
      <c r="F733" s="66">
        <f>_xlfn.IFNA(INDEX('hp (pSv cm2)'!$B$2:$B$52,MATCH($C733,'hp (pSv cm2)'!$A$2:$A$52,1))+($C733-INDEX('hp (pSv cm2)'!$A$2:$A$52,MATCH($C733,'hp (pSv cm2)'!$A$2:$A$52,1)))*(INDEX('hp (pSv cm2)'!$B$2:$B$52,MATCH($C733,'hp (pSv cm2)'!$A$2:$A$52,1)+1)-INDEX('hp (pSv cm2)'!$B$2:$B$52,MATCH($C733,'hp (pSv cm2)'!$A$2:$A$52,1)))/(INDEX('hp (pSv cm2)'!$A$2:$A$52,MATCH($C733,'hp (pSv cm2)'!$A$2:$A$52,1)+1)-INDEX('hp (pSv cm2)'!$A$2:$A$52,MATCH($C733,'hp (pSv cm2)'!$A$2:$A$52,1))),$C733*'hp (pSv cm2)'!$B$2/'hp (pSv cm2)'!$A$2)</f>
        <v>0.319106</v>
      </c>
      <c r="G733" s="67">
        <f t="shared" si="50"/>
        <v>3.3506130000000004E-7</v>
      </c>
      <c r="H733" s="83">
        <f>_xlfn.IFNA(0.997*(INDEX('Mass attenuation coefficients'!$B$2:$B$37,MATCH($C733,'Mass attenuation coefficients'!$A$2:$A$37,1))+($C733-INDEX('Mass attenuation coefficients'!$A$2:$A$37,MATCH($C733,'Mass attenuation coefficients'!$A$2:$A$37,1)))*(INDEX('Mass attenuation coefficients'!$B$2:$B$37,MATCH($C733,'Mass attenuation coefficients'!$A$2:$A$37,1)+1)-INDEX('Mass attenuation coefficients'!$B$2:$B$37,MATCH($C733,'Mass attenuation coefficients'!$A$2:$A$37,1)))/(INDEX('Mass attenuation coefficients'!$A$2:$A$37,MATCH($C733,'Mass attenuation coefficients'!$A$2:$A$37,1)+1)-INDEX('Mass attenuation coefficients'!$A$2:$A$37,MATCH($C733,'Mass attenuation coefficients'!$A$2:$A$37,1)))),0.997*$C733*'Mass attenuation coefficients'!$B$2/'Mass attenuation coefficients'!$A$2)</f>
        <v>0.35446829529999996</v>
      </c>
      <c r="I733" s="83">
        <f>_xlfn.IFNA(INDEX('Shultis Faw'!$C$2:$C$26,MATCH($C733,'Shultis Faw'!$A$2:$A$26,1))+($C733-INDEX('Shultis Faw'!$A$2:$A$26,MATCH($C733,'Shultis Faw'!$A$2:$A$26,1)))*(INDEX('Shultis Faw'!$C$2:$C$26,MATCH($C733,'Shultis Faw'!$A$2:$A$26,1)+1)-INDEX('Shultis Faw'!$C$2:$C$26,MATCH($C733,'Shultis Faw'!$A$2:$A$26,1)))/(INDEX('Shultis Faw'!$A$2:$A$26,MATCH($C733,'Shultis Faw'!$A$2:$A$26,1)+1)-INDEX('Shultis Faw'!$A$2:$A$26,MATCH($C733,'Shultis Faw'!$A$2:$A$26,1))),$C733*'Shultis Faw'!$C$2/'Shultis Faw'!$A$2)</f>
        <v>2.5485540000000002</v>
      </c>
      <c r="J733" s="83">
        <f>_xlfn.IFNA(INDEX('Shultis Faw'!$D$2:$D$26,MATCH($C733,'Shultis Faw'!$A$2:$A$26,1))+($C733-INDEX('Shultis Faw'!$A$2:$A$26,MATCH($C733,'Shultis Faw'!$A$2:$A$26,1)))*(INDEX('Shultis Faw'!$D$2:$D$26,MATCH($C733,'Shultis Faw'!$A$2:$A$26,1)+1)-INDEX('Shultis Faw'!$D$2:$D$26,MATCH($C733,'Shultis Faw'!$A$2:$A$26,1)))/(INDEX('Shultis Faw'!$A$2:$A$26,MATCH($C733,'Shultis Faw'!$A$2:$A$26,1)+1)-INDEX('Shultis Faw'!$A$2:$A$26,MATCH($C733,'Shultis Faw'!$A$2:$A$26,1))),$C733*'Shultis Faw'!$D$2/'Shultis Faw'!$A$2)</f>
        <v>0.80724700000000016</v>
      </c>
      <c r="K733" s="83">
        <f>_xlfn.IFNA(INDEX('Shultis Faw'!$B$2:$B$26,MATCH($C733,'Shultis Faw'!$A$2:$A$26,1))+($C733-INDEX('Shultis Faw'!$A$2:$A$26,MATCH($C733,'Shultis Faw'!$A$2:$A$26,1)))*(INDEX('Shultis Faw'!$B$2:$B$26,MATCH($C733,'Shultis Faw'!$A$2:$A$26,1)+1)-INDEX('Shultis Faw'!$B$2:$B$26,MATCH($C733,'Shultis Faw'!$A$2:$A$26,1)))/(INDEX('Shultis Faw'!$A$2:$A$26,MATCH($C733,'Shultis Faw'!$A$2:$A$26,1)+1)-INDEX('Shultis Faw'!$A$2:$A$26,MATCH($C733,'Shultis Faw'!$A$2:$A$26,1))),$C733*'Shultis Faw'!$B$2/'Shultis Faw'!$A$2)</f>
        <v>6.717799999999996E-2</v>
      </c>
      <c r="L733" s="83">
        <f>_xlfn.IFNA(INDEX('Shultis Faw'!$E$2:$E$26,MATCH($C733,'Shultis Faw'!$A$2:$A$26,1))+($C733-INDEX('Shultis Faw'!$A$2:$A$26,MATCH($C733,'Shultis Faw'!$A$2:$A$26,1)))*(INDEX('Shultis Faw'!$E$2:$E$26,MATCH($C733,'Shultis Faw'!$A$2:$A$26,1)+1)-INDEX('Shultis Faw'!$E$2:$E$26,MATCH($C733,'Shultis Faw'!$A$2:$A$26,1)))/(INDEX('Shultis Faw'!$A$2:$A$26,MATCH($C733,'Shultis Faw'!$A$2:$A$26,1)+1)-INDEX('Shultis Faw'!$A$2:$A$26,MATCH($C733,'Shultis Faw'!$A$2:$A$26,1))),$C733*'Shultis Faw'!$E$2/'Shultis Faw'!$A$2)</f>
        <v>-3.3578499999999983E-2</v>
      </c>
      <c r="M733" s="83">
        <f>_xlfn.IFNA(INDEX('Shultis Faw'!$F$2:$F$26,MATCH($C733,'Shultis Faw'!$A$2:$A$26,1))+($C733-INDEX('Shultis Faw'!$A$2:$A$26,MATCH($C733,'Shultis Faw'!$A$2:$A$26,1)))*(INDEX('Shultis Faw'!$F$2:$F$26,MATCH($C733,'Shultis Faw'!$A$2:$A$26,1)+1)-INDEX('Shultis Faw'!$F$2:$F$26,MATCH($C733,'Shultis Faw'!$A$2:$A$26,1)))/(INDEX('Shultis Faw'!$A$2:$A$26,MATCH($C733,'Shultis Faw'!$A$2:$A$26,1)+1)-INDEX('Shultis Faw'!$A$2:$A$26,MATCH($C733,'Shultis Faw'!$A$2:$A$26,1))),$C733*'Shultis Faw'!$F$2/'Shultis Faw'!$A$2)</f>
        <v>12.978929999999998</v>
      </c>
      <c r="N733" s="83">
        <f>J733*(H733*'Externe blootstelling'!$D$23/2)^K733+L733*(TANH(((H733*'Externe blootstelling'!$D$23)/(2*M733))-2)-TANH(-2))/(1-TANH(-2))</f>
        <v>0.90239138848026457</v>
      </c>
      <c r="O733" s="83">
        <f>IF(N733=1,1+(I733-1)*H733*'Externe blootstelling'!$D$23/2,1+(I733-1)*(N733^(H733*'Externe blootstelling'!$D$23/2)-1)/(N733-1))</f>
        <v>7.6758520588578953</v>
      </c>
      <c r="P733" s="67">
        <f>G733*EXP(-H733*'Externe blootstelling'!$D$23/2)*O733</f>
        <v>1.2621079287081482E-8</v>
      </c>
      <c r="Q733" s="68"/>
    </row>
    <row r="734" spans="1:17" x14ac:dyDescent="0.2">
      <c r="A734" s="220"/>
      <c r="B734" s="64" t="s">
        <v>104</v>
      </c>
      <c r="C734" s="66">
        <v>6.9500000000000006E-2</v>
      </c>
      <c r="D734" s="66">
        <f t="shared" si="49"/>
        <v>1.1119999999999999E-14</v>
      </c>
      <c r="E734" s="66">
        <v>7.0000000000000007E-5</v>
      </c>
      <c r="F734" s="66">
        <f>_xlfn.IFNA(INDEX('hp (pSv cm2)'!$B$2:$B$52,MATCH($C734,'hp (pSv cm2)'!$A$2:$A$52,1))+($C734-INDEX('hp (pSv cm2)'!$A$2:$A$52,MATCH($C734,'hp (pSv cm2)'!$A$2:$A$52,1)))*(INDEX('hp (pSv cm2)'!$B$2:$B$52,MATCH($C734,'hp (pSv cm2)'!$A$2:$A$52,1)+1)-INDEX('hp (pSv cm2)'!$B$2:$B$52,MATCH($C734,'hp (pSv cm2)'!$A$2:$A$52,1)))/(INDEX('hp (pSv cm2)'!$A$2:$A$52,MATCH($C734,'hp (pSv cm2)'!$A$2:$A$52,1)+1)-INDEX('hp (pSv cm2)'!$A$2:$A$52,MATCH($C734,'hp (pSv cm2)'!$A$2:$A$52,1))),$C734*'hp (pSv cm2)'!$B$2/'hp (pSv cm2)'!$A$2)</f>
        <v>0.40989999999999999</v>
      </c>
      <c r="G734" s="67">
        <f t="shared" si="50"/>
        <v>2.8693000000000001E-5</v>
      </c>
      <c r="H734" s="83">
        <f>_xlfn.IFNA(0.997*(INDEX('Mass attenuation coefficients'!$B$2:$B$37,MATCH($C734,'Mass attenuation coefficients'!$A$2:$A$37,1))+($C734-INDEX('Mass attenuation coefficients'!$A$2:$A$37,MATCH($C734,'Mass attenuation coefficients'!$A$2:$A$37,1)))*(INDEX('Mass attenuation coefficients'!$B$2:$B$37,MATCH($C734,'Mass attenuation coefficients'!$A$2:$A$37,1)+1)-INDEX('Mass attenuation coefficients'!$B$2:$B$37,MATCH($C734,'Mass attenuation coefficients'!$A$2:$A$37,1)))/(INDEX('Mass attenuation coefficients'!$A$2:$A$37,MATCH($C734,'Mass attenuation coefficients'!$A$2:$A$37,1)+1)-INDEX('Mass attenuation coefficients'!$A$2:$A$37,MATCH($C734,'Mass attenuation coefficients'!$A$2:$A$37,1)))),0.997*$C734*'Mass attenuation coefficients'!$B$2/'Mass attenuation coefficients'!$A$2)</f>
        <v>0.194768935</v>
      </c>
      <c r="I734" s="83">
        <f>_xlfn.IFNA(INDEX('Shultis Faw'!$C$2:$C$26,MATCH($C734,'Shultis Faw'!$A$2:$A$26,1))+($C734-INDEX('Shultis Faw'!$A$2:$A$26,MATCH($C734,'Shultis Faw'!$A$2:$A$26,1)))*(INDEX('Shultis Faw'!$C$2:$C$26,MATCH($C734,'Shultis Faw'!$A$2:$A$26,1)+1)-INDEX('Shultis Faw'!$C$2:$C$26,MATCH($C734,'Shultis Faw'!$A$2:$A$26,1)))/(INDEX('Shultis Faw'!$A$2:$A$26,MATCH($C734,'Shultis Faw'!$A$2:$A$26,1)+1)-INDEX('Shultis Faw'!$A$2:$A$26,MATCH($C734,'Shultis Faw'!$A$2:$A$26,1))),$C734*'Shultis Faw'!$C$2/'Shultis Faw'!$A$2)</f>
        <v>5.0190999999999999</v>
      </c>
      <c r="J734" s="83">
        <f>_xlfn.IFNA(INDEX('Shultis Faw'!$D$2:$D$26,MATCH($C734,'Shultis Faw'!$A$2:$A$26,1))+($C734-INDEX('Shultis Faw'!$A$2:$A$26,MATCH($C734,'Shultis Faw'!$A$2:$A$26,1)))*(INDEX('Shultis Faw'!$D$2:$D$26,MATCH($C734,'Shultis Faw'!$A$2:$A$26,1)+1)-INDEX('Shultis Faw'!$D$2:$D$26,MATCH($C734,'Shultis Faw'!$A$2:$A$26,1)))/(INDEX('Shultis Faw'!$A$2:$A$26,MATCH($C734,'Shultis Faw'!$A$2:$A$26,1)+1)-INDEX('Shultis Faw'!$A$2:$A$26,MATCH($C734,'Shultis Faw'!$A$2:$A$26,1))),$C734*'Shultis Faw'!$D$2/'Shultis Faw'!$A$2)</f>
        <v>1.8862750000000001</v>
      </c>
      <c r="K734" s="83">
        <f>_xlfn.IFNA(INDEX('Shultis Faw'!$B$2:$B$26,MATCH($C734,'Shultis Faw'!$A$2:$A$26,1))+($C734-INDEX('Shultis Faw'!$A$2:$A$26,MATCH($C734,'Shultis Faw'!$A$2:$A$26,1)))*(INDEX('Shultis Faw'!$B$2:$B$26,MATCH($C734,'Shultis Faw'!$A$2:$A$26,1)+1)-INDEX('Shultis Faw'!$B$2:$B$26,MATCH($C734,'Shultis Faw'!$A$2:$A$26,1)))/(INDEX('Shultis Faw'!$A$2:$A$26,MATCH($C734,'Shultis Faw'!$A$2:$A$26,1)+1)-INDEX('Shultis Faw'!$A$2:$A$26,MATCH($C734,'Shultis Faw'!$A$2:$A$26,1))),$C734*'Shultis Faw'!$B$2/'Shultis Faw'!$A$2)</f>
        <v>-0.14595000000000002</v>
      </c>
      <c r="L734" s="83">
        <f>_xlfn.IFNA(INDEX('Shultis Faw'!$E$2:$E$26,MATCH($C734,'Shultis Faw'!$A$2:$A$26,1))+($C734-INDEX('Shultis Faw'!$A$2:$A$26,MATCH($C734,'Shultis Faw'!$A$2:$A$26,1)))*(INDEX('Shultis Faw'!$E$2:$E$26,MATCH($C734,'Shultis Faw'!$A$2:$A$26,1)+1)-INDEX('Shultis Faw'!$E$2:$E$26,MATCH($C734,'Shultis Faw'!$A$2:$A$26,1)))/(INDEX('Shultis Faw'!$A$2:$A$26,MATCH($C734,'Shultis Faw'!$A$2:$A$26,1)+1)-INDEX('Shultis Faw'!$A$2:$A$26,MATCH($C734,'Shultis Faw'!$A$2:$A$26,1))),$C734*'Shultis Faw'!$E$2/'Shultis Faw'!$A$2)</f>
        <v>6.6027500000000003E-2</v>
      </c>
      <c r="M734" s="83">
        <f>_xlfn.IFNA(INDEX('Shultis Faw'!$F$2:$F$26,MATCH($C734,'Shultis Faw'!$A$2:$A$26,1))+($C734-INDEX('Shultis Faw'!$A$2:$A$26,MATCH($C734,'Shultis Faw'!$A$2:$A$26,1)))*(INDEX('Shultis Faw'!$F$2:$F$26,MATCH($C734,'Shultis Faw'!$A$2:$A$26,1)+1)-INDEX('Shultis Faw'!$F$2:$F$26,MATCH($C734,'Shultis Faw'!$A$2:$A$26,1)))/(INDEX('Shultis Faw'!$A$2:$A$26,MATCH($C734,'Shultis Faw'!$A$2:$A$26,1)+1)-INDEX('Shultis Faw'!$A$2:$A$26,MATCH($C734,'Shultis Faw'!$A$2:$A$26,1))),$C734*'Shultis Faw'!$F$2/'Shultis Faw'!$A$2)</f>
        <v>13.654250000000001</v>
      </c>
      <c r="N734" s="83">
        <f>J734*(H734*'Externe blootstelling'!$D$23/2)^K734+L734*(TANH(((H734*'Externe blootstelling'!$D$23)/(2*M734))-2)-TANH(-2))/(1-TANH(-2))</f>
        <v>1.6136829143097691</v>
      </c>
      <c r="O734" s="83">
        <f>IF(N734=1,1+(I734-1)*H734*'Externe blootstelling'!$D$23/2,1+(I734-1)*(N734^(H734*'Externe blootstelling'!$D$23/2)-1)/(N734-1))</f>
        <v>20.956152387124881</v>
      </c>
      <c r="P734" s="67">
        <f>G734*EXP(-H734*'Externe blootstelling'!$D$23/2)*O734</f>
        <v>3.2380339687843519E-5</v>
      </c>
      <c r="Q734" s="68"/>
    </row>
    <row r="735" spans="1:17" x14ac:dyDescent="0.2">
      <c r="A735" s="220"/>
      <c r="B735" s="64" t="s">
        <v>104</v>
      </c>
      <c r="C735" s="66">
        <v>7.0900000000000005E-2</v>
      </c>
      <c r="D735" s="66">
        <f t="shared" si="49"/>
        <v>1.1344E-14</v>
      </c>
      <c r="E735" s="66">
        <v>3.6000000000000001E-5</v>
      </c>
      <c r="F735" s="66">
        <f>_xlfn.IFNA(INDEX('hp (pSv cm2)'!$B$2:$B$52,MATCH($C735,'hp (pSv cm2)'!$A$2:$A$52,1))+($C735-INDEX('hp (pSv cm2)'!$A$2:$A$52,MATCH($C735,'hp (pSv cm2)'!$A$2:$A$52,1)))*(INDEX('hp (pSv cm2)'!$B$2:$B$52,MATCH($C735,'hp (pSv cm2)'!$A$2:$A$52,1)+1)-INDEX('hp (pSv cm2)'!$B$2:$B$52,MATCH($C735,'hp (pSv cm2)'!$A$2:$A$52,1)))/(INDEX('hp (pSv cm2)'!$A$2:$A$52,MATCH($C735,'hp (pSv cm2)'!$A$2:$A$52,1)+1)-INDEX('hp (pSv cm2)'!$A$2:$A$52,MATCH($C735,'hp (pSv cm2)'!$A$2:$A$52,1))),$C735*'hp (pSv cm2)'!$B$2/'hp (pSv cm2)'!$A$2)</f>
        <v>0.41387999999999997</v>
      </c>
      <c r="G735" s="67">
        <f t="shared" si="50"/>
        <v>1.4899679999999999E-5</v>
      </c>
      <c r="H735" s="83">
        <f>_xlfn.IFNA(0.997*(INDEX('Mass attenuation coefficients'!$B$2:$B$37,MATCH($C735,'Mass attenuation coefficients'!$A$2:$A$37,1))+($C735-INDEX('Mass attenuation coefficients'!$A$2:$A$37,MATCH($C735,'Mass attenuation coefficients'!$A$2:$A$37,1)))*(INDEX('Mass attenuation coefficients'!$B$2:$B$37,MATCH($C735,'Mass attenuation coefficients'!$A$2:$A$37,1)+1)-INDEX('Mass attenuation coefficients'!$B$2:$B$37,MATCH($C735,'Mass attenuation coefficients'!$A$2:$A$37,1)))/(INDEX('Mass attenuation coefficients'!$A$2:$A$37,MATCH($C735,'Mass attenuation coefficients'!$A$2:$A$37,1)+1)-INDEX('Mass attenuation coefficients'!$A$2:$A$37,MATCH($C735,'Mass attenuation coefficients'!$A$2:$A$37,1)))),0.997*$C735*'Mass attenuation coefficients'!$B$2/'Mass attenuation coefficients'!$A$2)</f>
        <v>0.19321959699999999</v>
      </c>
      <c r="I735" s="83">
        <f>_xlfn.IFNA(INDEX('Shultis Faw'!$C$2:$C$26,MATCH($C735,'Shultis Faw'!$A$2:$A$26,1))+($C735-INDEX('Shultis Faw'!$A$2:$A$26,MATCH($C735,'Shultis Faw'!$A$2:$A$26,1)))*(INDEX('Shultis Faw'!$C$2:$C$26,MATCH($C735,'Shultis Faw'!$A$2:$A$26,1)+1)-INDEX('Shultis Faw'!$C$2:$C$26,MATCH($C735,'Shultis Faw'!$A$2:$A$26,1)))/(INDEX('Shultis Faw'!$A$2:$A$26,MATCH($C735,'Shultis Faw'!$A$2:$A$26,1)+1)-INDEX('Shultis Faw'!$A$2:$A$26,MATCH($C735,'Shultis Faw'!$A$2:$A$26,1))),$C735*'Shultis Faw'!$C$2/'Shultis Faw'!$A$2)</f>
        <v>5.0244200000000001</v>
      </c>
      <c r="J735" s="83">
        <f>_xlfn.IFNA(INDEX('Shultis Faw'!$D$2:$D$26,MATCH($C735,'Shultis Faw'!$A$2:$A$26,1))+($C735-INDEX('Shultis Faw'!$A$2:$A$26,MATCH($C735,'Shultis Faw'!$A$2:$A$26,1)))*(INDEX('Shultis Faw'!$D$2:$D$26,MATCH($C735,'Shultis Faw'!$A$2:$A$26,1)+1)-INDEX('Shultis Faw'!$D$2:$D$26,MATCH($C735,'Shultis Faw'!$A$2:$A$26,1)))/(INDEX('Shultis Faw'!$A$2:$A$26,MATCH($C735,'Shultis Faw'!$A$2:$A$26,1)+1)-INDEX('Shultis Faw'!$A$2:$A$26,MATCH($C735,'Shultis Faw'!$A$2:$A$26,1))),$C735*'Shultis Faw'!$D$2/'Shultis Faw'!$A$2)</f>
        <v>1.9093050000000003</v>
      </c>
      <c r="K735" s="83">
        <f>_xlfn.IFNA(INDEX('Shultis Faw'!$B$2:$B$26,MATCH($C735,'Shultis Faw'!$A$2:$A$26,1))+($C735-INDEX('Shultis Faw'!$A$2:$A$26,MATCH($C735,'Shultis Faw'!$A$2:$A$26,1)))*(INDEX('Shultis Faw'!$B$2:$B$26,MATCH($C735,'Shultis Faw'!$A$2:$A$26,1)+1)-INDEX('Shultis Faw'!$B$2:$B$26,MATCH($C735,'Shultis Faw'!$A$2:$A$26,1)))/(INDEX('Shultis Faw'!$A$2:$A$26,MATCH($C735,'Shultis Faw'!$A$2:$A$26,1)+1)-INDEX('Shultis Faw'!$A$2:$A$26,MATCH($C735,'Shultis Faw'!$A$2:$A$26,1))),$C735*'Shultis Faw'!$B$2/'Shultis Faw'!$A$2)</f>
        <v>-0.14889000000000002</v>
      </c>
      <c r="L735" s="83">
        <f>_xlfn.IFNA(INDEX('Shultis Faw'!$E$2:$E$26,MATCH($C735,'Shultis Faw'!$A$2:$A$26,1))+($C735-INDEX('Shultis Faw'!$A$2:$A$26,MATCH($C735,'Shultis Faw'!$A$2:$A$26,1)))*(INDEX('Shultis Faw'!$E$2:$E$26,MATCH($C735,'Shultis Faw'!$A$2:$A$26,1)+1)-INDEX('Shultis Faw'!$E$2:$E$26,MATCH($C735,'Shultis Faw'!$A$2:$A$26,1)))/(INDEX('Shultis Faw'!$A$2:$A$26,MATCH($C735,'Shultis Faw'!$A$2:$A$26,1)+1)-INDEX('Shultis Faw'!$A$2:$A$26,MATCH($C735,'Shultis Faw'!$A$2:$A$26,1))),$C735*'Shultis Faw'!$E$2/'Shultis Faw'!$A$2)</f>
        <v>6.7490500000000009E-2</v>
      </c>
      <c r="M735" s="83">
        <f>_xlfn.IFNA(INDEX('Shultis Faw'!$F$2:$F$26,MATCH($C735,'Shultis Faw'!$A$2:$A$26,1))+($C735-INDEX('Shultis Faw'!$A$2:$A$26,MATCH($C735,'Shultis Faw'!$A$2:$A$26,1)))*(INDEX('Shultis Faw'!$F$2:$F$26,MATCH($C735,'Shultis Faw'!$A$2:$A$26,1)+1)-INDEX('Shultis Faw'!$F$2:$F$26,MATCH($C735,'Shultis Faw'!$A$2:$A$26,1)))/(INDEX('Shultis Faw'!$A$2:$A$26,MATCH($C735,'Shultis Faw'!$A$2:$A$26,1)+1)-INDEX('Shultis Faw'!$A$2:$A$26,MATCH($C735,'Shultis Faw'!$A$2:$A$26,1))),$C735*'Shultis Faw'!$F$2/'Shultis Faw'!$A$2)</f>
        <v>13.65635</v>
      </c>
      <c r="N735" s="83">
        <f>J735*(H735*'Externe blootstelling'!$D$23/2)^K735+L735*(TANH(((H735*'Externe blootstelling'!$D$23)/(2*M735))-2)-TANH(-2))/(1-TANH(-2))</f>
        <v>1.6301829424041567</v>
      </c>
      <c r="O735" s="83">
        <f>IF(N735=1,1+(I735-1)*H735*'Externe blootstelling'!$D$23/2,1+(I735-1)*(N735^(H735*'Externe blootstelling'!$D$23/2)-1)/(N735-1))</f>
        <v>20.938376375764857</v>
      </c>
      <c r="P735" s="67">
        <f>G735*EXP(-H735*'Externe blootstelling'!$D$23/2)*O735</f>
        <v>1.7195185754956024E-5</v>
      </c>
      <c r="Q735" s="68"/>
    </row>
    <row r="736" spans="1:17" x14ac:dyDescent="0.2">
      <c r="A736" s="220"/>
      <c r="B736" s="64" t="s">
        <v>102</v>
      </c>
      <c r="C736" s="66">
        <v>8.1069999999999989E-2</v>
      </c>
      <c r="D736" s="66">
        <f t="shared" si="49"/>
        <v>1.2971199999999997E-14</v>
      </c>
      <c r="E736" s="66">
        <v>0.14859999999999998</v>
      </c>
      <c r="F736" s="66">
        <f>_xlfn.IFNA(INDEX('hp (pSv cm2)'!$B$2:$B$52,MATCH($C736,'hp (pSv cm2)'!$A$2:$A$52,1))+($C736-INDEX('hp (pSv cm2)'!$A$2:$A$52,MATCH($C736,'hp (pSv cm2)'!$A$2:$A$52,1)))*(INDEX('hp (pSv cm2)'!$B$2:$B$52,MATCH($C736,'hp (pSv cm2)'!$A$2:$A$52,1)+1)-INDEX('hp (pSv cm2)'!$B$2:$B$52,MATCH($C736,'hp (pSv cm2)'!$A$2:$A$52,1)))/(INDEX('hp (pSv cm2)'!$A$2:$A$52,MATCH($C736,'hp (pSv cm2)'!$A$2:$A$52,1)+1)-INDEX('hp (pSv cm2)'!$A$2:$A$52,MATCH($C736,'hp (pSv cm2)'!$A$2:$A$52,1))),$C736*'hp (pSv cm2)'!$B$2/'hp (pSv cm2)'!$A$2)</f>
        <v>0.44701249999999998</v>
      </c>
      <c r="G736" s="67">
        <f t="shared" si="50"/>
        <v>6.6426057499999983E-2</v>
      </c>
      <c r="H736" s="83">
        <f>_xlfn.IFNA(0.997*(INDEX('Mass attenuation coefficients'!$B$2:$B$37,MATCH($C736,'Mass attenuation coefficients'!$A$2:$A$37,1))+($C736-INDEX('Mass attenuation coefficients'!$A$2:$A$37,MATCH($C736,'Mass attenuation coefficients'!$A$2:$A$37,1)))*(INDEX('Mass attenuation coefficients'!$B$2:$B$37,MATCH($C736,'Mass attenuation coefficients'!$A$2:$A$37,1)+1)-INDEX('Mass attenuation coefficients'!$B$2:$B$37,MATCH($C736,'Mass attenuation coefficients'!$A$2:$A$37,1)))/(INDEX('Mass attenuation coefficients'!$A$2:$A$37,MATCH($C736,'Mass attenuation coefficients'!$A$2:$A$37,1)+1)-INDEX('Mass attenuation coefficients'!$A$2:$A$37,MATCH($C736,'Mass attenuation coefficients'!$A$2:$A$37,1)))),0.997*$C736*'Mass attenuation coefficients'!$B$2/'Mass attenuation coefficients'!$A$2)</f>
        <v>0.18245548650000001</v>
      </c>
      <c r="I736" s="83">
        <f>_xlfn.IFNA(INDEX('Shultis Faw'!$C$2:$C$26,MATCH($C736,'Shultis Faw'!$A$2:$A$26,1))+($C736-INDEX('Shultis Faw'!$A$2:$A$26,MATCH($C736,'Shultis Faw'!$A$2:$A$26,1)))*(INDEX('Shultis Faw'!$C$2:$C$26,MATCH($C736,'Shultis Faw'!$A$2:$A$26,1)+1)-INDEX('Shultis Faw'!$C$2:$C$26,MATCH($C736,'Shultis Faw'!$A$2:$A$26,1)))/(INDEX('Shultis Faw'!$A$2:$A$26,MATCH($C736,'Shultis Faw'!$A$2:$A$26,1)+1)-INDEX('Shultis Faw'!$A$2:$A$26,MATCH($C736,'Shultis Faw'!$A$2:$A$26,1))),$C736*'Shultis Faw'!$C$2/'Shultis Faw'!$A$2)</f>
        <v>5.037814</v>
      </c>
      <c r="J736" s="83">
        <f>_xlfn.IFNA(INDEX('Shultis Faw'!$D$2:$D$26,MATCH($C736,'Shultis Faw'!$A$2:$A$26,1))+($C736-INDEX('Shultis Faw'!$A$2:$A$26,MATCH($C736,'Shultis Faw'!$A$2:$A$26,1)))*(INDEX('Shultis Faw'!$D$2:$D$26,MATCH($C736,'Shultis Faw'!$A$2:$A$26,1)+1)-INDEX('Shultis Faw'!$D$2:$D$26,MATCH($C736,'Shultis Faw'!$A$2:$A$26,1)))/(INDEX('Shultis Faw'!$A$2:$A$26,MATCH($C736,'Shultis Faw'!$A$2:$A$26,1)+1)-INDEX('Shultis Faw'!$A$2:$A$26,MATCH($C736,'Shultis Faw'!$A$2:$A$26,1))),$C736*'Shultis Faw'!$D$2/'Shultis Faw'!$A$2)</f>
        <v>2.0676670000000001</v>
      </c>
      <c r="K736" s="83">
        <f>_xlfn.IFNA(INDEX('Shultis Faw'!$B$2:$B$26,MATCH($C736,'Shultis Faw'!$A$2:$A$26,1))+($C736-INDEX('Shultis Faw'!$A$2:$A$26,MATCH($C736,'Shultis Faw'!$A$2:$A$26,1)))*(INDEX('Shultis Faw'!$B$2:$B$26,MATCH($C736,'Shultis Faw'!$A$2:$A$26,1)+1)-INDEX('Shultis Faw'!$B$2:$B$26,MATCH($C736,'Shultis Faw'!$A$2:$A$26,1)))/(INDEX('Shultis Faw'!$A$2:$A$26,MATCH($C736,'Shultis Faw'!$A$2:$A$26,1)+1)-INDEX('Shultis Faw'!$A$2:$A$26,MATCH($C736,'Shultis Faw'!$A$2:$A$26,1))),$C736*'Shultis Faw'!$B$2/'Shultis Faw'!$A$2)</f>
        <v>-0.168963</v>
      </c>
      <c r="L736" s="83">
        <f>_xlfn.IFNA(INDEX('Shultis Faw'!$E$2:$E$26,MATCH($C736,'Shultis Faw'!$A$2:$A$26,1))+($C736-INDEX('Shultis Faw'!$A$2:$A$26,MATCH($C736,'Shultis Faw'!$A$2:$A$26,1)))*(INDEX('Shultis Faw'!$E$2:$E$26,MATCH($C736,'Shultis Faw'!$A$2:$A$26,1)+1)-INDEX('Shultis Faw'!$E$2:$E$26,MATCH($C736,'Shultis Faw'!$A$2:$A$26,1)))/(INDEX('Shultis Faw'!$A$2:$A$26,MATCH($C736,'Shultis Faw'!$A$2:$A$26,1)+1)-INDEX('Shultis Faw'!$A$2:$A$26,MATCH($C736,'Shultis Faw'!$A$2:$A$26,1))),$C736*'Shultis Faw'!$E$2/'Shultis Faw'!$A$2)</f>
        <v>7.7299599999999996E-2</v>
      </c>
      <c r="M736" s="83">
        <f>_xlfn.IFNA(INDEX('Shultis Faw'!$F$2:$F$26,MATCH($C736,'Shultis Faw'!$A$2:$A$26,1))+($C736-INDEX('Shultis Faw'!$A$2:$A$26,MATCH($C736,'Shultis Faw'!$A$2:$A$26,1)))*(INDEX('Shultis Faw'!$F$2:$F$26,MATCH($C736,'Shultis Faw'!$A$2:$A$26,1)+1)-INDEX('Shultis Faw'!$F$2:$F$26,MATCH($C736,'Shultis Faw'!$A$2:$A$26,1)))/(INDEX('Shultis Faw'!$A$2:$A$26,MATCH($C736,'Shultis Faw'!$A$2:$A$26,1)+1)-INDEX('Shultis Faw'!$A$2:$A$26,MATCH($C736,'Shultis Faw'!$A$2:$A$26,1))),$C736*'Shultis Faw'!$F$2/'Shultis Faw'!$A$2)</f>
        <v>13.651809999999999</v>
      </c>
      <c r="N736" s="83">
        <f>J736*(H736*'Externe blootstelling'!$D$23/2)^K736+L736*(TANH(((H736*'Externe blootstelling'!$D$23)/(2*M736))-2)-TANH(-2))/(1-TANH(-2))</f>
        <v>1.744902019661456</v>
      </c>
      <c r="O736" s="83">
        <f>IF(N736=1,1+(I736-1)*H736*'Externe blootstelling'!$D$23/2,1+(I736-1)*(N736^(H736*'Externe blootstelling'!$D$23/2)-1)/(N736-1))</f>
        <v>20.452734331502082</v>
      </c>
      <c r="P736" s="67">
        <f>G736*EXP(-H736*'Externe blootstelling'!$D$23/2)*O736</f>
        <v>8.8003245626949209E-2</v>
      </c>
      <c r="Q736" s="68"/>
    </row>
    <row r="737" spans="1:17" x14ac:dyDescent="0.2">
      <c r="A737" s="220"/>
      <c r="B737" s="64" t="s">
        <v>102</v>
      </c>
      <c r="C737" s="66">
        <v>8.3780000000000007E-2</v>
      </c>
      <c r="D737" s="66">
        <f t="shared" si="49"/>
        <v>1.3404799999999999E-14</v>
      </c>
      <c r="E737" s="66">
        <v>0.245</v>
      </c>
      <c r="F737" s="66">
        <f>_xlfn.IFNA(INDEX('hp (pSv cm2)'!$B$2:$B$52,MATCH($C737,'hp (pSv cm2)'!$A$2:$A$52,1))+($C737-INDEX('hp (pSv cm2)'!$A$2:$A$52,MATCH($C737,'hp (pSv cm2)'!$A$2:$A$52,1)))*(INDEX('hp (pSv cm2)'!$B$2:$B$52,MATCH($C737,'hp (pSv cm2)'!$A$2:$A$52,1)+1)-INDEX('hp (pSv cm2)'!$B$2:$B$52,MATCH($C737,'hp (pSv cm2)'!$A$2:$A$52,1)))/(INDEX('hp (pSv cm2)'!$A$2:$A$52,MATCH($C737,'hp (pSv cm2)'!$A$2:$A$52,1)+1)-INDEX('hp (pSv cm2)'!$A$2:$A$52,MATCH($C737,'hp (pSv cm2)'!$A$2:$A$52,1))),$C737*'hp (pSv cm2)'!$B$2/'hp (pSv cm2)'!$A$2)</f>
        <v>0.457175</v>
      </c>
      <c r="G737" s="67">
        <f t="shared" si="50"/>
        <v>0.11200787499999999</v>
      </c>
      <c r="H737" s="83">
        <f>_xlfn.IFNA(0.997*(INDEX('Mass attenuation coefficients'!$B$2:$B$37,MATCH($C737,'Mass attenuation coefficients'!$A$2:$A$37,1))+($C737-INDEX('Mass attenuation coefficients'!$A$2:$A$37,MATCH($C737,'Mass attenuation coefficients'!$A$2:$A$37,1)))*(INDEX('Mass attenuation coefficients'!$B$2:$B$37,MATCH($C737,'Mass attenuation coefficients'!$A$2:$A$37,1)+1)-INDEX('Mass attenuation coefficients'!$B$2:$B$37,MATCH($C737,'Mass attenuation coefficients'!$A$2:$A$37,1)))/(INDEX('Mass attenuation coefficients'!$A$2:$A$37,MATCH($C737,'Mass attenuation coefficients'!$A$2:$A$37,1)+1)-INDEX('Mass attenuation coefficients'!$A$2:$A$37,MATCH($C737,'Mass attenuation coefficients'!$A$2:$A$37,1)))),0.997*$C737*'Mass attenuation coefficients'!$B$2/'Mass attenuation coefficients'!$A$2)</f>
        <v>0.18069927099999999</v>
      </c>
      <c r="I737" s="83">
        <f>_xlfn.IFNA(INDEX('Shultis Faw'!$C$2:$C$26,MATCH($C737,'Shultis Faw'!$A$2:$A$26,1))+($C737-INDEX('Shultis Faw'!$A$2:$A$26,MATCH($C737,'Shultis Faw'!$A$2:$A$26,1)))*(INDEX('Shultis Faw'!$C$2:$C$26,MATCH($C737,'Shultis Faw'!$A$2:$A$26,1)+1)-INDEX('Shultis Faw'!$C$2:$C$26,MATCH($C737,'Shultis Faw'!$A$2:$A$26,1)))/(INDEX('Shultis Faw'!$A$2:$A$26,MATCH($C737,'Shultis Faw'!$A$2:$A$26,1)+1)-INDEX('Shultis Faw'!$A$2:$A$26,MATCH($C737,'Shultis Faw'!$A$2:$A$26,1))),$C737*'Shultis Faw'!$C$2/'Shultis Faw'!$A$2)</f>
        <v>4.9841560000000005</v>
      </c>
      <c r="J737" s="83">
        <f>_xlfn.IFNA(INDEX('Shultis Faw'!$D$2:$D$26,MATCH($C737,'Shultis Faw'!$A$2:$A$26,1))+($C737-INDEX('Shultis Faw'!$A$2:$A$26,MATCH($C737,'Shultis Faw'!$A$2:$A$26,1)))*(INDEX('Shultis Faw'!$D$2:$D$26,MATCH($C737,'Shultis Faw'!$A$2:$A$26,1)+1)-INDEX('Shultis Faw'!$D$2:$D$26,MATCH($C737,'Shultis Faw'!$A$2:$A$26,1)))/(INDEX('Shultis Faw'!$A$2:$A$26,MATCH($C737,'Shultis Faw'!$A$2:$A$26,1)+1)-INDEX('Shultis Faw'!$A$2:$A$26,MATCH($C737,'Shultis Faw'!$A$2:$A$26,1))),$C737*'Shultis Faw'!$D$2/'Shultis Faw'!$A$2)</f>
        <v>2.0896180000000002</v>
      </c>
      <c r="K737" s="83">
        <f>_xlfn.IFNA(INDEX('Shultis Faw'!$B$2:$B$26,MATCH($C737,'Shultis Faw'!$A$2:$A$26,1))+($C737-INDEX('Shultis Faw'!$A$2:$A$26,MATCH($C737,'Shultis Faw'!$A$2:$A$26,1)))*(INDEX('Shultis Faw'!$B$2:$B$26,MATCH($C737,'Shultis Faw'!$A$2:$A$26,1)+1)-INDEX('Shultis Faw'!$B$2:$B$26,MATCH($C737,'Shultis Faw'!$A$2:$A$26,1)))/(INDEX('Shultis Faw'!$A$2:$A$26,MATCH($C737,'Shultis Faw'!$A$2:$A$26,1)+1)-INDEX('Shultis Faw'!$A$2:$A$26,MATCH($C737,'Shultis Faw'!$A$2:$A$26,1))),$C737*'Shultis Faw'!$B$2/'Shultis Faw'!$A$2)</f>
        <v>-0.171402</v>
      </c>
      <c r="L737" s="83">
        <f>_xlfn.IFNA(INDEX('Shultis Faw'!$E$2:$E$26,MATCH($C737,'Shultis Faw'!$A$2:$A$26,1))+($C737-INDEX('Shultis Faw'!$A$2:$A$26,MATCH($C737,'Shultis Faw'!$A$2:$A$26,1)))*(INDEX('Shultis Faw'!$E$2:$E$26,MATCH($C737,'Shultis Faw'!$A$2:$A$26,1)+1)-INDEX('Shultis Faw'!$E$2:$E$26,MATCH($C737,'Shultis Faw'!$A$2:$A$26,1)))/(INDEX('Shultis Faw'!$A$2:$A$26,MATCH($C737,'Shultis Faw'!$A$2:$A$26,1)+1)-INDEX('Shultis Faw'!$A$2:$A$26,MATCH($C737,'Shultis Faw'!$A$2:$A$26,1))),$C737*'Shultis Faw'!$E$2/'Shultis Faw'!$A$2)</f>
        <v>7.80584E-2</v>
      </c>
      <c r="M737" s="83">
        <f>_xlfn.IFNA(INDEX('Shultis Faw'!$F$2:$F$26,MATCH($C737,'Shultis Faw'!$A$2:$A$26,1))+($C737-INDEX('Shultis Faw'!$A$2:$A$26,MATCH($C737,'Shultis Faw'!$A$2:$A$26,1)))*(INDEX('Shultis Faw'!$F$2:$F$26,MATCH($C737,'Shultis Faw'!$A$2:$A$26,1)+1)-INDEX('Shultis Faw'!$F$2:$F$26,MATCH($C737,'Shultis Faw'!$A$2:$A$26,1)))/(INDEX('Shultis Faw'!$A$2:$A$26,MATCH($C737,'Shultis Faw'!$A$2:$A$26,1)+1)-INDEX('Shultis Faw'!$A$2:$A$26,MATCH($C737,'Shultis Faw'!$A$2:$A$26,1))),$C737*'Shultis Faw'!$F$2/'Shultis Faw'!$A$2)</f>
        <v>13.605739999999999</v>
      </c>
      <c r="N737" s="83">
        <f>J737*(H737*'Externe blootstelling'!$D$23/2)^K737+L737*(TANH(((H737*'Externe blootstelling'!$D$23)/(2*M737))-2)-TANH(-2))/(1-TANH(-2))</f>
        <v>1.762015018133271</v>
      </c>
      <c r="O737" s="83">
        <f>IF(N737=1,1+(I737-1)*H737*'Externe blootstelling'!$D$23/2,1+(I737-1)*(N737^(H737*'Externe blootstelling'!$D$23/2)-1)/(N737-1))</f>
        <v>20.047664865644357</v>
      </c>
      <c r="P737" s="67">
        <f>G737*EXP(-H737*'Externe blootstelling'!$D$23/2)*O737</f>
        <v>0.1493351035400316</v>
      </c>
      <c r="Q737" s="68"/>
    </row>
    <row r="738" spans="1:17" x14ac:dyDescent="0.2">
      <c r="A738" s="220"/>
      <c r="B738" s="64" t="s">
        <v>102</v>
      </c>
      <c r="C738" s="66">
        <v>9.48547E-2</v>
      </c>
      <c r="D738" s="66">
        <f t="shared" si="49"/>
        <v>1.5176751999999999E-14</v>
      </c>
      <c r="E738" s="66">
        <v>8.5000000000000006E-2</v>
      </c>
      <c r="F738" s="66">
        <f>_xlfn.IFNA(INDEX('hp (pSv cm2)'!$B$2:$B$52,MATCH($C738,'hp (pSv cm2)'!$A$2:$A$52,1))+($C738-INDEX('hp (pSv cm2)'!$A$2:$A$52,MATCH($C738,'hp (pSv cm2)'!$A$2:$A$52,1)))*(INDEX('hp (pSv cm2)'!$B$2:$B$52,MATCH($C738,'hp (pSv cm2)'!$A$2:$A$52,1)+1)-INDEX('hp (pSv cm2)'!$B$2:$B$52,MATCH($C738,'hp (pSv cm2)'!$A$2:$A$52,1)))/(INDEX('hp (pSv cm2)'!$A$2:$A$52,MATCH($C738,'hp (pSv cm2)'!$A$2:$A$52,1)+1)-INDEX('hp (pSv cm2)'!$A$2:$A$52,MATCH($C738,'hp (pSv cm2)'!$A$2:$A$52,1))),$C738*'hp (pSv cm2)'!$B$2/'hp (pSv cm2)'!$A$2)</f>
        <v>0.49870512499999997</v>
      </c>
      <c r="G738" s="67">
        <f t="shared" si="50"/>
        <v>4.2389935625E-2</v>
      </c>
      <c r="H738" s="83">
        <f>_xlfn.IFNA(0.997*(INDEX('Mass attenuation coefficients'!$B$2:$B$37,MATCH($C738,'Mass attenuation coefficients'!$A$2:$A$37,1))+($C738-INDEX('Mass attenuation coefficients'!$A$2:$A$37,MATCH($C738,'Mass attenuation coefficients'!$A$2:$A$37,1)))*(INDEX('Mass attenuation coefficients'!$B$2:$B$37,MATCH($C738,'Mass attenuation coefficients'!$A$2:$A$37,1)+1)-INDEX('Mass attenuation coefficients'!$B$2:$B$37,MATCH($C738,'Mass attenuation coefficients'!$A$2:$A$37,1)))/(INDEX('Mass attenuation coefficients'!$A$2:$A$37,MATCH($C738,'Mass attenuation coefficients'!$A$2:$A$37,1)+1)-INDEX('Mass attenuation coefficients'!$A$2:$A$37,MATCH($C738,'Mass attenuation coefficients'!$A$2:$A$37,1)))),0.997*$C738*'Mass attenuation coefficients'!$B$2/'Mass attenuation coefficients'!$A$2)</f>
        <v>0.17352231166499998</v>
      </c>
      <c r="I738" s="83">
        <f>_xlfn.IFNA(INDEX('Shultis Faw'!$C$2:$C$26,MATCH($C738,'Shultis Faw'!$A$2:$A$26,1))+($C738-INDEX('Shultis Faw'!$A$2:$A$26,MATCH($C738,'Shultis Faw'!$A$2:$A$26,1)))*(INDEX('Shultis Faw'!$C$2:$C$26,MATCH($C738,'Shultis Faw'!$A$2:$A$26,1)+1)-INDEX('Shultis Faw'!$C$2:$C$26,MATCH($C738,'Shultis Faw'!$A$2:$A$26,1)))/(INDEX('Shultis Faw'!$A$2:$A$26,MATCH($C738,'Shultis Faw'!$A$2:$A$26,1)+1)-INDEX('Shultis Faw'!$A$2:$A$26,MATCH($C738,'Shultis Faw'!$A$2:$A$26,1))),$C738*'Shultis Faw'!$C$2/'Shultis Faw'!$A$2)</f>
        <v>4.7648769400000006</v>
      </c>
      <c r="J738" s="83">
        <f>_xlfn.IFNA(INDEX('Shultis Faw'!$D$2:$D$26,MATCH($C738,'Shultis Faw'!$A$2:$A$26,1))+($C738-INDEX('Shultis Faw'!$A$2:$A$26,MATCH($C738,'Shultis Faw'!$A$2:$A$26,1)))*(INDEX('Shultis Faw'!$D$2:$D$26,MATCH($C738,'Shultis Faw'!$A$2:$A$26,1)+1)-INDEX('Shultis Faw'!$D$2:$D$26,MATCH($C738,'Shultis Faw'!$A$2:$A$26,1)))/(INDEX('Shultis Faw'!$A$2:$A$26,MATCH($C738,'Shultis Faw'!$A$2:$A$26,1)+1)-INDEX('Shultis Faw'!$A$2:$A$26,MATCH($C738,'Shultis Faw'!$A$2:$A$26,1))),$C738*'Shultis Faw'!$D$2/'Shultis Faw'!$A$2)</f>
        <v>2.1793230700000001</v>
      </c>
      <c r="K738" s="83">
        <f>_xlfn.IFNA(INDEX('Shultis Faw'!$B$2:$B$26,MATCH($C738,'Shultis Faw'!$A$2:$A$26,1))+($C738-INDEX('Shultis Faw'!$A$2:$A$26,MATCH($C738,'Shultis Faw'!$A$2:$A$26,1)))*(INDEX('Shultis Faw'!$B$2:$B$26,MATCH($C738,'Shultis Faw'!$A$2:$A$26,1)+1)-INDEX('Shultis Faw'!$B$2:$B$26,MATCH($C738,'Shultis Faw'!$A$2:$A$26,1)))/(INDEX('Shultis Faw'!$A$2:$A$26,MATCH($C738,'Shultis Faw'!$A$2:$A$26,1)+1)-INDEX('Shultis Faw'!$A$2:$A$26,MATCH($C738,'Shultis Faw'!$A$2:$A$26,1))),$C738*'Shultis Faw'!$B$2/'Shultis Faw'!$A$2)</f>
        <v>-0.18136922999999999</v>
      </c>
      <c r="L738" s="83">
        <f>_xlfn.IFNA(INDEX('Shultis Faw'!$E$2:$E$26,MATCH($C738,'Shultis Faw'!$A$2:$A$26,1))+($C738-INDEX('Shultis Faw'!$A$2:$A$26,MATCH($C738,'Shultis Faw'!$A$2:$A$26,1)))*(INDEX('Shultis Faw'!$E$2:$E$26,MATCH($C738,'Shultis Faw'!$A$2:$A$26,1)+1)-INDEX('Shultis Faw'!$E$2:$E$26,MATCH($C738,'Shultis Faw'!$A$2:$A$26,1)))/(INDEX('Shultis Faw'!$A$2:$A$26,MATCH($C738,'Shultis Faw'!$A$2:$A$26,1)+1)-INDEX('Shultis Faw'!$A$2:$A$26,MATCH($C738,'Shultis Faw'!$A$2:$A$26,1))),$C738*'Shultis Faw'!$E$2/'Shultis Faw'!$A$2)</f>
        <v>8.1159316000000009E-2</v>
      </c>
      <c r="M738" s="83">
        <f>_xlfn.IFNA(INDEX('Shultis Faw'!$F$2:$F$26,MATCH($C738,'Shultis Faw'!$A$2:$A$26,1))+($C738-INDEX('Shultis Faw'!$A$2:$A$26,MATCH($C738,'Shultis Faw'!$A$2:$A$26,1)))*(INDEX('Shultis Faw'!$F$2:$F$26,MATCH($C738,'Shultis Faw'!$A$2:$A$26,1)+1)-INDEX('Shultis Faw'!$F$2:$F$26,MATCH($C738,'Shultis Faw'!$A$2:$A$26,1)))/(INDEX('Shultis Faw'!$A$2:$A$26,MATCH($C738,'Shultis Faw'!$A$2:$A$26,1)+1)-INDEX('Shultis Faw'!$A$2:$A$26,MATCH($C738,'Shultis Faw'!$A$2:$A$26,1))),$C738*'Shultis Faw'!$F$2/'Shultis Faw'!$A$2)</f>
        <v>13.417470100000001</v>
      </c>
      <c r="N738" s="83">
        <f>J738*(H738*'Externe blootstelling'!$D$23/2)^K738+L738*(TANH(((H738*'Externe blootstelling'!$D$23)/(2*M738))-2)-TANH(-2))/(1-TANH(-2))</f>
        <v>1.8328840004039073</v>
      </c>
      <c r="O738" s="83">
        <f>IF(N738=1,1+(I738-1)*H738*'Externe blootstelling'!$D$23/2,1+(I738-1)*(N738^(H738*'Externe blootstelling'!$D$23/2)-1)/(N738-1))</f>
        <v>18.360506303053448</v>
      </c>
      <c r="P738" s="67">
        <f>G738*EXP(-H738*'Externe blootstelling'!$D$23/2)*O738</f>
        <v>5.7643543922877537E-2</v>
      </c>
      <c r="Q738" s="68"/>
    </row>
    <row r="739" spans="1:17" x14ac:dyDescent="0.2">
      <c r="A739" s="220"/>
      <c r="B739" s="64" t="s">
        <v>102</v>
      </c>
      <c r="C739" s="66">
        <v>9.7896699999999989E-2</v>
      </c>
      <c r="D739" s="66">
        <f t="shared" si="49"/>
        <v>1.5663471999999996E-14</v>
      </c>
      <c r="E739" s="66">
        <v>2.7200000000000002E-2</v>
      </c>
      <c r="F739" s="66">
        <f>_xlfn.IFNA(INDEX('hp (pSv cm2)'!$B$2:$B$52,MATCH($C739,'hp (pSv cm2)'!$A$2:$A$52,1))+($C739-INDEX('hp (pSv cm2)'!$A$2:$A$52,MATCH($C739,'hp (pSv cm2)'!$A$2:$A$52,1)))*(INDEX('hp (pSv cm2)'!$B$2:$B$52,MATCH($C739,'hp (pSv cm2)'!$A$2:$A$52,1)+1)-INDEX('hp (pSv cm2)'!$B$2:$B$52,MATCH($C739,'hp (pSv cm2)'!$A$2:$A$52,1)))/(INDEX('hp (pSv cm2)'!$A$2:$A$52,MATCH($C739,'hp (pSv cm2)'!$A$2:$A$52,1)+1)-INDEX('hp (pSv cm2)'!$A$2:$A$52,MATCH($C739,'hp (pSv cm2)'!$A$2:$A$52,1))),$C739*'hp (pSv cm2)'!$B$2/'hp (pSv cm2)'!$A$2)</f>
        <v>0.51011262499999999</v>
      </c>
      <c r="G739" s="67">
        <f t="shared" si="50"/>
        <v>1.38750634E-2</v>
      </c>
      <c r="H739" s="83">
        <f>_xlfn.IFNA(0.997*(INDEX('Mass attenuation coefficients'!$B$2:$B$37,MATCH($C739,'Mass attenuation coefficients'!$A$2:$A$37,1))+($C739-INDEX('Mass attenuation coefficients'!$A$2:$A$37,MATCH($C739,'Mass attenuation coefficients'!$A$2:$A$37,1)))*(INDEX('Mass attenuation coefficients'!$B$2:$B$37,MATCH($C739,'Mass attenuation coefficients'!$A$2:$A$37,1)+1)-INDEX('Mass attenuation coefficients'!$B$2:$B$37,MATCH($C739,'Mass attenuation coefficients'!$A$2:$A$37,1)))/(INDEX('Mass attenuation coefficients'!$A$2:$A$37,MATCH($C739,'Mass attenuation coefficients'!$A$2:$A$37,1)+1)-INDEX('Mass attenuation coefficients'!$A$2:$A$37,MATCH($C739,'Mass attenuation coefficients'!$A$2:$A$37,1)))),0.997*$C739*'Mass attenuation coefficients'!$B$2/'Mass attenuation coefficients'!$A$2)</f>
        <v>0.171550943565</v>
      </c>
      <c r="I739" s="83">
        <f>_xlfn.IFNA(INDEX('Shultis Faw'!$C$2:$C$26,MATCH($C739,'Shultis Faw'!$A$2:$A$26,1))+($C739-INDEX('Shultis Faw'!$A$2:$A$26,MATCH($C739,'Shultis Faw'!$A$2:$A$26,1)))*(INDEX('Shultis Faw'!$C$2:$C$26,MATCH($C739,'Shultis Faw'!$A$2:$A$26,1)+1)-INDEX('Shultis Faw'!$C$2:$C$26,MATCH($C739,'Shultis Faw'!$A$2:$A$26,1)))/(INDEX('Shultis Faw'!$A$2:$A$26,MATCH($C739,'Shultis Faw'!$A$2:$A$26,1)+1)-INDEX('Shultis Faw'!$A$2:$A$26,MATCH($C739,'Shultis Faw'!$A$2:$A$26,1))),$C739*'Shultis Faw'!$C$2/'Shultis Faw'!$A$2)</f>
        <v>4.7046453400000008</v>
      </c>
      <c r="J739" s="83">
        <f>_xlfn.IFNA(INDEX('Shultis Faw'!$D$2:$D$26,MATCH($C739,'Shultis Faw'!$A$2:$A$26,1))+($C739-INDEX('Shultis Faw'!$A$2:$A$26,MATCH($C739,'Shultis Faw'!$A$2:$A$26,1)))*(INDEX('Shultis Faw'!$D$2:$D$26,MATCH($C739,'Shultis Faw'!$A$2:$A$26,1)+1)-INDEX('Shultis Faw'!$D$2:$D$26,MATCH($C739,'Shultis Faw'!$A$2:$A$26,1)))/(INDEX('Shultis Faw'!$A$2:$A$26,MATCH($C739,'Shultis Faw'!$A$2:$A$26,1)+1)-INDEX('Shultis Faw'!$A$2:$A$26,MATCH($C739,'Shultis Faw'!$A$2:$A$26,1))),$C739*'Shultis Faw'!$D$2/'Shultis Faw'!$A$2)</f>
        <v>2.20396327</v>
      </c>
      <c r="K739" s="83">
        <f>_xlfn.IFNA(INDEX('Shultis Faw'!$B$2:$B$26,MATCH($C739,'Shultis Faw'!$A$2:$A$26,1))+($C739-INDEX('Shultis Faw'!$A$2:$A$26,MATCH($C739,'Shultis Faw'!$A$2:$A$26,1)))*(INDEX('Shultis Faw'!$B$2:$B$26,MATCH($C739,'Shultis Faw'!$A$2:$A$26,1)+1)-INDEX('Shultis Faw'!$B$2:$B$26,MATCH($C739,'Shultis Faw'!$A$2:$A$26,1)))/(INDEX('Shultis Faw'!$A$2:$A$26,MATCH($C739,'Shultis Faw'!$A$2:$A$26,1)+1)-INDEX('Shultis Faw'!$A$2:$A$26,MATCH($C739,'Shultis Faw'!$A$2:$A$26,1))),$C739*'Shultis Faw'!$B$2/'Shultis Faw'!$A$2)</f>
        <v>-0.18410702999999998</v>
      </c>
      <c r="L739" s="83">
        <f>_xlfn.IFNA(INDEX('Shultis Faw'!$E$2:$E$26,MATCH($C739,'Shultis Faw'!$A$2:$A$26,1))+($C739-INDEX('Shultis Faw'!$A$2:$A$26,MATCH($C739,'Shultis Faw'!$A$2:$A$26,1)))*(INDEX('Shultis Faw'!$E$2:$E$26,MATCH($C739,'Shultis Faw'!$A$2:$A$26,1)+1)-INDEX('Shultis Faw'!$E$2:$E$26,MATCH($C739,'Shultis Faw'!$A$2:$A$26,1)))/(INDEX('Shultis Faw'!$A$2:$A$26,MATCH($C739,'Shultis Faw'!$A$2:$A$26,1)+1)-INDEX('Shultis Faw'!$A$2:$A$26,MATCH($C739,'Shultis Faw'!$A$2:$A$26,1))),$C739*'Shultis Faw'!$E$2/'Shultis Faw'!$A$2)</f>
        <v>8.2011076000000002E-2</v>
      </c>
      <c r="M739" s="83">
        <f>_xlfn.IFNA(INDEX('Shultis Faw'!$F$2:$F$26,MATCH($C739,'Shultis Faw'!$A$2:$A$26,1))+($C739-INDEX('Shultis Faw'!$A$2:$A$26,MATCH($C739,'Shultis Faw'!$A$2:$A$26,1)))*(INDEX('Shultis Faw'!$F$2:$F$26,MATCH($C739,'Shultis Faw'!$A$2:$A$26,1)+1)-INDEX('Shultis Faw'!$F$2:$F$26,MATCH($C739,'Shultis Faw'!$A$2:$A$26,1)))/(INDEX('Shultis Faw'!$A$2:$A$26,MATCH($C739,'Shultis Faw'!$A$2:$A$26,1)+1)-INDEX('Shultis Faw'!$A$2:$A$26,MATCH($C739,'Shultis Faw'!$A$2:$A$26,1))),$C739*'Shultis Faw'!$F$2/'Shultis Faw'!$A$2)</f>
        <v>13.3657561</v>
      </c>
      <c r="N739" s="83">
        <f>J739*(H739*'Externe blootstelling'!$D$23/2)^K739+L739*(TANH(((H739*'Externe blootstelling'!$D$23)/(2*M739))-2)-TANH(-2))/(1-TANH(-2))</f>
        <v>1.8526457116027693</v>
      </c>
      <c r="O739" s="83">
        <f>IF(N739=1,1+(I739-1)*H739*'Externe blootstelling'!$D$23/2,1+(I739-1)*(N739^(H739*'Externe blootstelling'!$D$23/2)-1)/(N739-1))</f>
        <v>17.891402646801613</v>
      </c>
      <c r="P739" s="67">
        <f>G739*EXP(-H739*'Externe blootstelling'!$D$23/2)*O739</f>
        <v>1.89376001919806E-2</v>
      </c>
      <c r="Q739" s="68"/>
    </row>
    <row r="740" spans="1:17" x14ac:dyDescent="0.2">
      <c r="A740" s="220"/>
      <c r="B740" s="64" t="s">
        <v>104</v>
      </c>
      <c r="C740" s="66">
        <v>0.1022</v>
      </c>
      <c r="D740" s="66">
        <f t="shared" si="49"/>
        <v>1.6352000000000001E-14</v>
      </c>
      <c r="E740" s="66">
        <v>7.9999999999999996E-6</v>
      </c>
      <c r="F740" s="66">
        <f>_xlfn.IFNA(INDEX('hp (pSv cm2)'!$B$2:$B$52,MATCH($C740,'hp (pSv cm2)'!$A$2:$A$52,1))+($C740-INDEX('hp (pSv cm2)'!$A$2:$A$52,MATCH($C740,'hp (pSv cm2)'!$A$2:$A$52,1)))*(INDEX('hp (pSv cm2)'!$B$2:$B$52,MATCH($C740,'hp (pSv cm2)'!$A$2:$A$52,1)+1)-INDEX('hp (pSv cm2)'!$B$2:$B$52,MATCH($C740,'hp (pSv cm2)'!$A$2:$A$52,1)))/(INDEX('hp (pSv cm2)'!$A$2:$A$52,MATCH($C740,'hp (pSv cm2)'!$A$2:$A$52,1)+1)-INDEX('hp (pSv cm2)'!$A$2:$A$52,MATCH($C740,'hp (pSv cm2)'!$A$2:$A$52,1))),$C740*'hp (pSv cm2)'!$B$2/'hp (pSv cm2)'!$A$2)</f>
        <v>0.52807599999999999</v>
      </c>
      <c r="G740" s="67">
        <f t="shared" si="50"/>
        <v>4.2246079999999995E-6</v>
      </c>
      <c r="H740" s="83">
        <f>_xlfn.IFNA(0.997*(INDEX('Mass attenuation coefficients'!$B$2:$B$37,MATCH($C740,'Mass attenuation coefficients'!$A$2:$A$37,1))+($C740-INDEX('Mass attenuation coefficients'!$A$2:$A$37,MATCH($C740,'Mass attenuation coefficients'!$A$2:$A$37,1)))*(INDEX('Mass attenuation coefficients'!$B$2:$B$37,MATCH($C740,'Mass attenuation coefficients'!$A$2:$A$37,1)+1)-INDEX('Mass attenuation coefficients'!$B$2:$B$37,MATCH($C740,'Mass attenuation coefficients'!$A$2:$A$37,1)))/(INDEX('Mass attenuation coefficients'!$A$2:$A$37,MATCH($C740,'Mass attenuation coefficients'!$A$2:$A$37,1)+1)-INDEX('Mass attenuation coefficients'!$A$2:$A$37,MATCH($C740,'Mass attenuation coefficients'!$A$2:$A$37,1)))),0.997*$C740*'Mass attenuation coefficients'!$B$2/'Mass attenuation coefficients'!$A$2)</f>
        <v>0.1693017664</v>
      </c>
      <c r="I740" s="83">
        <f>_xlfn.IFNA(INDEX('Shultis Faw'!$C$2:$C$26,MATCH($C740,'Shultis Faw'!$A$2:$A$26,1))+($C740-INDEX('Shultis Faw'!$A$2:$A$26,MATCH($C740,'Shultis Faw'!$A$2:$A$26,1)))*(INDEX('Shultis Faw'!$C$2:$C$26,MATCH($C740,'Shultis Faw'!$A$2:$A$26,1)+1)-INDEX('Shultis Faw'!$C$2:$C$26,MATCH($C740,'Shultis Faw'!$A$2:$A$26,1)))/(INDEX('Shultis Faw'!$A$2:$A$26,MATCH($C740,'Shultis Faw'!$A$2:$A$26,1)+1)-INDEX('Shultis Faw'!$A$2:$A$26,MATCH($C740,'Shultis Faw'!$A$2:$A$26,1))),$C740*'Shultis Faw'!$C$2/'Shultis Faw'!$A$2)</f>
        <v>4.6292960000000001</v>
      </c>
      <c r="J740" s="83">
        <f>_xlfn.IFNA(INDEX('Shultis Faw'!$D$2:$D$26,MATCH($C740,'Shultis Faw'!$A$2:$A$26,1))+($C740-INDEX('Shultis Faw'!$A$2:$A$26,MATCH($C740,'Shultis Faw'!$A$2:$A$26,1)))*(INDEX('Shultis Faw'!$D$2:$D$26,MATCH($C740,'Shultis Faw'!$A$2:$A$26,1)+1)-INDEX('Shultis Faw'!$D$2:$D$26,MATCH($C740,'Shultis Faw'!$A$2:$A$26,1)))/(INDEX('Shultis Faw'!$A$2:$A$26,MATCH($C740,'Shultis Faw'!$A$2:$A$26,1)+1)-INDEX('Shultis Faw'!$A$2:$A$26,MATCH($C740,'Shultis Faw'!$A$2:$A$26,1))),$C740*'Shultis Faw'!$D$2/'Shultis Faw'!$A$2)</f>
        <v>2.221924</v>
      </c>
      <c r="K740" s="83">
        <f>_xlfn.IFNA(INDEX('Shultis Faw'!$B$2:$B$26,MATCH($C740,'Shultis Faw'!$A$2:$A$26,1))+($C740-INDEX('Shultis Faw'!$A$2:$A$26,MATCH($C740,'Shultis Faw'!$A$2:$A$26,1)))*(INDEX('Shultis Faw'!$B$2:$B$26,MATCH($C740,'Shultis Faw'!$A$2:$A$26,1)+1)-INDEX('Shultis Faw'!$B$2:$B$26,MATCH($C740,'Shultis Faw'!$A$2:$A$26,1)))/(INDEX('Shultis Faw'!$A$2:$A$26,MATCH($C740,'Shultis Faw'!$A$2:$A$26,1)+1)-INDEX('Shultis Faw'!$A$2:$A$26,MATCH($C740,'Shultis Faw'!$A$2:$A$26,1))),$C740*'Shultis Faw'!$B$2/'Shultis Faw'!$A$2)</f>
        <v>-0.18595600000000001</v>
      </c>
      <c r="L740" s="83">
        <f>_xlfn.IFNA(INDEX('Shultis Faw'!$E$2:$E$26,MATCH($C740,'Shultis Faw'!$A$2:$A$26,1))+($C740-INDEX('Shultis Faw'!$A$2:$A$26,MATCH($C740,'Shultis Faw'!$A$2:$A$26,1)))*(INDEX('Shultis Faw'!$E$2:$E$26,MATCH($C740,'Shultis Faw'!$A$2:$A$26,1)+1)-INDEX('Shultis Faw'!$E$2:$E$26,MATCH($C740,'Shultis Faw'!$A$2:$A$26,1)))/(INDEX('Shultis Faw'!$A$2:$A$26,MATCH($C740,'Shultis Faw'!$A$2:$A$26,1)+1)-INDEX('Shultis Faw'!$A$2:$A$26,MATCH($C740,'Shultis Faw'!$A$2:$A$26,1))),$C740*'Shultis Faw'!$E$2/'Shultis Faw'!$A$2)</f>
        <v>8.238440000000001E-2</v>
      </c>
      <c r="M740" s="83">
        <f>_xlfn.IFNA(INDEX('Shultis Faw'!$F$2:$F$26,MATCH($C740,'Shultis Faw'!$A$2:$A$26,1))+($C740-INDEX('Shultis Faw'!$A$2:$A$26,MATCH($C740,'Shultis Faw'!$A$2:$A$26,1)))*(INDEX('Shultis Faw'!$F$2:$F$26,MATCH($C740,'Shultis Faw'!$A$2:$A$26,1)+1)-INDEX('Shultis Faw'!$F$2:$F$26,MATCH($C740,'Shultis Faw'!$A$2:$A$26,1)))/(INDEX('Shultis Faw'!$A$2:$A$26,MATCH($C740,'Shultis Faw'!$A$2:$A$26,1)+1)-INDEX('Shultis Faw'!$A$2:$A$26,MATCH($C740,'Shultis Faw'!$A$2:$A$26,1))),$C740*'Shultis Faw'!$F$2/'Shultis Faw'!$A$2)</f>
        <v>13.367839999999999</v>
      </c>
      <c r="N740" s="83">
        <f>J740*(H740*'Externe blootstelling'!$D$23/2)^K740+L740*(TANH(((H740*'Externe blootstelling'!$D$23)/(2*M740))-2)-TANH(-2))/(1-TANH(-2))</f>
        <v>1.8690497255243392</v>
      </c>
      <c r="O740" s="83">
        <f>IF(N740=1,1+(I740-1)*H740*'Externe blootstelling'!$D$23/2,1+(I740-1)*(N740^(H740*'Externe blootstelling'!$D$23/2)-1)/(N740-1))</f>
        <v>17.26784572999907</v>
      </c>
      <c r="P740" s="67">
        <f>G740*EXP(-H740*'Externe blootstelling'!$D$23/2)*O740</f>
        <v>5.7560191916967315E-6</v>
      </c>
      <c r="Q740" s="68"/>
    </row>
    <row r="741" spans="1:17" x14ac:dyDescent="0.2">
      <c r="A741" s="220"/>
      <c r="B741" s="64" t="s">
        <v>104</v>
      </c>
      <c r="C741" s="66">
        <v>0.1032</v>
      </c>
      <c r="D741" s="66">
        <f t="shared" si="49"/>
        <v>1.6512E-14</v>
      </c>
      <c r="E741" s="66">
        <v>6.0000000000000002E-5</v>
      </c>
      <c r="F741" s="66">
        <f>_xlfn.IFNA(INDEX('hp (pSv cm2)'!$B$2:$B$52,MATCH($C741,'hp (pSv cm2)'!$A$2:$A$52,1))+($C741-INDEX('hp (pSv cm2)'!$A$2:$A$52,MATCH($C741,'hp (pSv cm2)'!$A$2:$A$52,1)))*(INDEX('hp (pSv cm2)'!$B$2:$B$52,MATCH($C741,'hp (pSv cm2)'!$A$2:$A$52,1)+1)-INDEX('hp (pSv cm2)'!$B$2:$B$52,MATCH($C741,'hp (pSv cm2)'!$A$2:$A$52,1)))/(INDEX('hp (pSv cm2)'!$A$2:$A$52,MATCH($C741,'hp (pSv cm2)'!$A$2:$A$52,1)+1)-INDEX('hp (pSv cm2)'!$A$2:$A$52,MATCH($C741,'hp (pSv cm2)'!$A$2:$A$52,1))),$C741*'hp (pSv cm2)'!$B$2/'hp (pSv cm2)'!$A$2)</f>
        <v>0.53265600000000002</v>
      </c>
      <c r="G741" s="67">
        <f t="shared" si="50"/>
        <v>3.1959360000000002E-5</v>
      </c>
      <c r="H741" s="83">
        <f>_xlfn.IFNA(0.997*(INDEX('Mass attenuation coefficients'!$B$2:$B$37,MATCH($C741,'Mass attenuation coefficients'!$A$2:$A$37,1))+($C741-INDEX('Mass attenuation coefficients'!$A$2:$A$37,MATCH($C741,'Mass attenuation coefficients'!$A$2:$A$37,1)))*(INDEX('Mass attenuation coefficients'!$B$2:$B$37,MATCH($C741,'Mass attenuation coefficients'!$A$2:$A$37,1)+1)-INDEX('Mass attenuation coefficients'!$B$2:$B$37,MATCH($C741,'Mass attenuation coefficients'!$A$2:$A$37,1)))/(INDEX('Mass attenuation coefficients'!$A$2:$A$37,MATCH($C741,'Mass attenuation coefficients'!$A$2:$A$37,1)+1)-INDEX('Mass attenuation coefficients'!$A$2:$A$37,MATCH($C741,'Mass attenuation coefficients'!$A$2:$A$37,1)))),0.997*$C741*'Mass attenuation coefficients'!$B$2/'Mass attenuation coefficients'!$A$2)</f>
        <v>0.16889897839999998</v>
      </c>
      <c r="I741" s="83">
        <f>_xlfn.IFNA(INDEX('Shultis Faw'!$C$2:$C$26,MATCH($C741,'Shultis Faw'!$A$2:$A$26,1))+($C741-INDEX('Shultis Faw'!$A$2:$A$26,MATCH($C741,'Shultis Faw'!$A$2:$A$26,1)))*(INDEX('Shultis Faw'!$C$2:$C$26,MATCH($C741,'Shultis Faw'!$A$2:$A$26,1)+1)-INDEX('Shultis Faw'!$C$2:$C$26,MATCH($C741,'Shultis Faw'!$A$2:$A$26,1)))/(INDEX('Shultis Faw'!$A$2:$A$26,MATCH($C741,'Shultis Faw'!$A$2:$A$26,1)+1)-INDEX('Shultis Faw'!$A$2:$A$26,MATCH($C741,'Shultis Faw'!$A$2:$A$26,1))),$C741*'Shultis Faw'!$C$2/'Shultis Faw'!$A$2)</f>
        <v>4.6139760000000001</v>
      </c>
      <c r="J741" s="83">
        <f>_xlfn.IFNA(INDEX('Shultis Faw'!$D$2:$D$26,MATCH($C741,'Shultis Faw'!$A$2:$A$26,1))+($C741-INDEX('Shultis Faw'!$A$2:$A$26,MATCH($C741,'Shultis Faw'!$A$2:$A$26,1)))*(INDEX('Shultis Faw'!$D$2:$D$26,MATCH($C741,'Shultis Faw'!$A$2:$A$26,1)+1)-INDEX('Shultis Faw'!$D$2:$D$26,MATCH($C741,'Shultis Faw'!$A$2:$A$26,1)))/(INDEX('Shultis Faw'!$A$2:$A$26,MATCH($C741,'Shultis Faw'!$A$2:$A$26,1)+1)-INDEX('Shultis Faw'!$A$2:$A$26,MATCH($C741,'Shultis Faw'!$A$2:$A$26,1))),$C741*'Shultis Faw'!$D$2/'Shultis Faw'!$A$2)</f>
        <v>2.2223440000000001</v>
      </c>
      <c r="K741" s="83">
        <f>_xlfn.IFNA(INDEX('Shultis Faw'!$B$2:$B$26,MATCH($C741,'Shultis Faw'!$A$2:$A$26,1))+($C741-INDEX('Shultis Faw'!$A$2:$A$26,MATCH($C741,'Shultis Faw'!$A$2:$A$26,1)))*(INDEX('Shultis Faw'!$B$2:$B$26,MATCH($C741,'Shultis Faw'!$A$2:$A$26,1)+1)-INDEX('Shultis Faw'!$B$2:$B$26,MATCH($C741,'Shultis Faw'!$A$2:$A$26,1)))/(INDEX('Shultis Faw'!$A$2:$A$26,MATCH($C741,'Shultis Faw'!$A$2:$A$26,1)+1)-INDEX('Shultis Faw'!$A$2:$A$26,MATCH($C741,'Shultis Faw'!$A$2:$A$26,1))),$C741*'Shultis Faw'!$B$2/'Shultis Faw'!$A$2)</f>
        <v>-0.18593599999999999</v>
      </c>
      <c r="L741" s="83">
        <f>_xlfn.IFNA(INDEX('Shultis Faw'!$E$2:$E$26,MATCH($C741,'Shultis Faw'!$A$2:$A$26,1))+($C741-INDEX('Shultis Faw'!$A$2:$A$26,MATCH($C741,'Shultis Faw'!$A$2:$A$26,1)))*(INDEX('Shultis Faw'!$E$2:$E$26,MATCH($C741,'Shultis Faw'!$A$2:$A$26,1)+1)-INDEX('Shultis Faw'!$E$2:$E$26,MATCH($C741,'Shultis Faw'!$A$2:$A$26,1)))/(INDEX('Shultis Faw'!$A$2:$A$26,MATCH($C741,'Shultis Faw'!$A$2:$A$26,1)+1)-INDEX('Shultis Faw'!$A$2:$A$26,MATCH($C741,'Shultis Faw'!$A$2:$A$26,1))),$C741*'Shultis Faw'!$E$2/'Shultis Faw'!$A$2)</f>
        <v>8.228640000000001E-2</v>
      </c>
      <c r="M741" s="83">
        <f>_xlfn.IFNA(INDEX('Shultis Faw'!$F$2:$F$26,MATCH($C741,'Shultis Faw'!$A$2:$A$26,1))+($C741-INDEX('Shultis Faw'!$A$2:$A$26,MATCH($C741,'Shultis Faw'!$A$2:$A$26,1)))*(INDEX('Shultis Faw'!$F$2:$F$26,MATCH($C741,'Shultis Faw'!$A$2:$A$26,1)+1)-INDEX('Shultis Faw'!$F$2:$F$26,MATCH($C741,'Shultis Faw'!$A$2:$A$26,1)))/(INDEX('Shultis Faw'!$A$2:$A$26,MATCH($C741,'Shultis Faw'!$A$2:$A$26,1)+1)-INDEX('Shultis Faw'!$A$2:$A$26,MATCH($C741,'Shultis Faw'!$A$2:$A$26,1))),$C741*'Shultis Faw'!$F$2/'Shultis Faw'!$A$2)</f>
        <v>13.38504</v>
      </c>
      <c r="N741" s="83">
        <f>J741*(H741*'Externe blootstelling'!$D$23/2)^K741+L741*(TANH(((H741*'Externe blootstelling'!$D$23)/(2*M741))-2)-TANH(-2))/(1-TANH(-2))</f>
        <v>1.8702617978851814</v>
      </c>
      <c r="O741" s="83">
        <f>IF(N741=1,1+(I741-1)*H741*'Externe blootstelling'!$D$23/2,1+(I741-1)*(N741^(H741*'Externe blootstelling'!$D$23/2)-1)/(N741-1))</f>
        <v>17.133230631819689</v>
      </c>
      <c r="P741" s="67">
        <f>G741*EXP(-H741*'Externe blootstelling'!$D$23/2)*O741</f>
        <v>4.3466925223039276E-5</v>
      </c>
      <c r="Q741" s="68"/>
    </row>
    <row r="742" spans="1:17" x14ac:dyDescent="0.2">
      <c r="A742" s="220"/>
      <c r="B742" s="64" t="s">
        <v>104</v>
      </c>
      <c r="C742" s="66">
        <v>0.10404000000000001</v>
      </c>
      <c r="D742" s="66">
        <f t="shared" si="49"/>
        <v>1.6646400000000002E-14</v>
      </c>
      <c r="E742" s="66">
        <v>1.94E-4</v>
      </c>
      <c r="F742" s="66">
        <f>_xlfn.IFNA(INDEX('hp (pSv cm2)'!$B$2:$B$52,MATCH($C742,'hp (pSv cm2)'!$A$2:$A$52,1))+($C742-INDEX('hp (pSv cm2)'!$A$2:$A$52,MATCH($C742,'hp (pSv cm2)'!$A$2:$A$52,1)))*(INDEX('hp (pSv cm2)'!$B$2:$B$52,MATCH($C742,'hp (pSv cm2)'!$A$2:$A$52,1)+1)-INDEX('hp (pSv cm2)'!$B$2:$B$52,MATCH($C742,'hp (pSv cm2)'!$A$2:$A$52,1)))/(INDEX('hp (pSv cm2)'!$A$2:$A$52,MATCH($C742,'hp (pSv cm2)'!$A$2:$A$52,1)+1)-INDEX('hp (pSv cm2)'!$A$2:$A$52,MATCH($C742,'hp (pSv cm2)'!$A$2:$A$52,1))),$C742*'hp (pSv cm2)'!$B$2/'hp (pSv cm2)'!$A$2)</f>
        <v>0.53650320000000007</v>
      </c>
      <c r="G742" s="67">
        <f t="shared" si="50"/>
        <v>1.0408162080000001E-4</v>
      </c>
      <c r="H742" s="83">
        <f>_xlfn.IFNA(0.997*(INDEX('Mass attenuation coefficients'!$B$2:$B$37,MATCH($C742,'Mass attenuation coefficients'!$A$2:$A$37,1))+($C742-INDEX('Mass attenuation coefficients'!$A$2:$A$37,MATCH($C742,'Mass attenuation coefficients'!$A$2:$A$37,1)))*(INDEX('Mass attenuation coefficients'!$B$2:$B$37,MATCH($C742,'Mass attenuation coefficients'!$A$2:$A$37,1)+1)-INDEX('Mass attenuation coefficients'!$B$2:$B$37,MATCH($C742,'Mass attenuation coefficients'!$A$2:$A$37,1)))/(INDEX('Mass attenuation coefficients'!$A$2:$A$37,MATCH($C742,'Mass attenuation coefficients'!$A$2:$A$37,1)+1)-INDEX('Mass attenuation coefficients'!$A$2:$A$37,MATCH($C742,'Mass attenuation coefficients'!$A$2:$A$37,1)))),0.997*$C742*'Mass attenuation coefficients'!$B$2/'Mass attenuation coefficients'!$A$2)</f>
        <v>0.16856063648</v>
      </c>
      <c r="I742" s="83">
        <f>_xlfn.IFNA(INDEX('Shultis Faw'!$C$2:$C$26,MATCH($C742,'Shultis Faw'!$A$2:$A$26,1))+($C742-INDEX('Shultis Faw'!$A$2:$A$26,MATCH($C742,'Shultis Faw'!$A$2:$A$26,1)))*(INDEX('Shultis Faw'!$C$2:$C$26,MATCH($C742,'Shultis Faw'!$A$2:$A$26,1)+1)-INDEX('Shultis Faw'!$C$2:$C$26,MATCH($C742,'Shultis Faw'!$A$2:$A$26,1)))/(INDEX('Shultis Faw'!$A$2:$A$26,MATCH($C742,'Shultis Faw'!$A$2:$A$26,1)+1)-INDEX('Shultis Faw'!$A$2:$A$26,MATCH($C742,'Shultis Faw'!$A$2:$A$26,1))),$C742*'Shultis Faw'!$C$2/'Shultis Faw'!$A$2)</f>
        <v>4.6011072000000004</v>
      </c>
      <c r="J742" s="83">
        <f>_xlfn.IFNA(INDEX('Shultis Faw'!$D$2:$D$26,MATCH($C742,'Shultis Faw'!$A$2:$A$26,1))+($C742-INDEX('Shultis Faw'!$A$2:$A$26,MATCH($C742,'Shultis Faw'!$A$2:$A$26,1)))*(INDEX('Shultis Faw'!$D$2:$D$26,MATCH($C742,'Shultis Faw'!$A$2:$A$26,1)+1)-INDEX('Shultis Faw'!$D$2:$D$26,MATCH($C742,'Shultis Faw'!$A$2:$A$26,1)))/(INDEX('Shultis Faw'!$A$2:$A$26,MATCH($C742,'Shultis Faw'!$A$2:$A$26,1)+1)-INDEX('Shultis Faw'!$A$2:$A$26,MATCH($C742,'Shultis Faw'!$A$2:$A$26,1))),$C742*'Shultis Faw'!$D$2/'Shultis Faw'!$A$2)</f>
        <v>2.2226968</v>
      </c>
      <c r="K742" s="83">
        <f>_xlfn.IFNA(INDEX('Shultis Faw'!$B$2:$B$26,MATCH($C742,'Shultis Faw'!$A$2:$A$26,1))+($C742-INDEX('Shultis Faw'!$A$2:$A$26,MATCH($C742,'Shultis Faw'!$A$2:$A$26,1)))*(INDEX('Shultis Faw'!$B$2:$B$26,MATCH($C742,'Shultis Faw'!$A$2:$A$26,1)+1)-INDEX('Shultis Faw'!$B$2:$B$26,MATCH($C742,'Shultis Faw'!$A$2:$A$26,1)))/(INDEX('Shultis Faw'!$A$2:$A$26,MATCH($C742,'Shultis Faw'!$A$2:$A$26,1)+1)-INDEX('Shultis Faw'!$A$2:$A$26,MATCH($C742,'Shultis Faw'!$A$2:$A$26,1))),$C742*'Shultis Faw'!$B$2/'Shultis Faw'!$A$2)</f>
        <v>-0.18591920000000001</v>
      </c>
      <c r="L742" s="83">
        <f>_xlfn.IFNA(INDEX('Shultis Faw'!$E$2:$E$26,MATCH($C742,'Shultis Faw'!$A$2:$A$26,1))+($C742-INDEX('Shultis Faw'!$A$2:$A$26,MATCH($C742,'Shultis Faw'!$A$2:$A$26,1)))*(INDEX('Shultis Faw'!$E$2:$E$26,MATCH($C742,'Shultis Faw'!$A$2:$A$26,1)+1)-INDEX('Shultis Faw'!$E$2:$E$26,MATCH($C742,'Shultis Faw'!$A$2:$A$26,1)))/(INDEX('Shultis Faw'!$A$2:$A$26,MATCH($C742,'Shultis Faw'!$A$2:$A$26,1)+1)-INDEX('Shultis Faw'!$A$2:$A$26,MATCH($C742,'Shultis Faw'!$A$2:$A$26,1))),$C742*'Shultis Faw'!$E$2/'Shultis Faw'!$A$2)</f>
        <v>8.2204080000000013E-2</v>
      </c>
      <c r="M742" s="83">
        <f>_xlfn.IFNA(INDEX('Shultis Faw'!$F$2:$F$26,MATCH($C742,'Shultis Faw'!$A$2:$A$26,1))+($C742-INDEX('Shultis Faw'!$A$2:$A$26,MATCH($C742,'Shultis Faw'!$A$2:$A$26,1)))*(INDEX('Shultis Faw'!$F$2:$F$26,MATCH($C742,'Shultis Faw'!$A$2:$A$26,1)+1)-INDEX('Shultis Faw'!$F$2:$F$26,MATCH($C742,'Shultis Faw'!$A$2:$A$26,1)))/(INDEX('Shultis Faw'!$A$2:$A$26,MATCH($C742,'Shultis Faw'!$A$2:$A$26,1)+1)-INDEX('Shultis Faw'!$A$2:$A$26,MATCH($C742,'Shultis Faw'!$A$2:$A$26,1))),$C742*'Shultis Faw'!$F$2/'Shultis Faw'!$A$2)</f>
        <v>13.399488</v>
      </c>
      <c r="N742" s="83">
        <f>J742*(H742*'Externe blootstelling'!$D$23/2)^K742+L742*(TANH(((H742*'Externe blootstelling'!$D$23)/(2*M742))-2)-TANH(-2))/(1-TANH(-2))</f>
        <v>1.871281903176196</v>
      </c>
      <c r="O742" s="83">
        <f>IF(N742=1,1+(I742-1)*H742*'Externe blootstelling'!$D$23/2,1+(I742-1)*(N742^(H742*'Externe blootstelling'!$D$23/2)-1)/(N742-1))</f>
        <v>17.020677347330878</v>
      </c>
      <c r="P742" s="67">
        <f>G742*EXP(-H742*'Externe blootstelling'!$D$23/2)*O742</f>
        <v>1.4134373760911939E-4</v>
      </c>
      <c r="Q742" s="68"/>
    </row>
    <row r="743" spans="1:17" x14ac:dyDescent="0.2">
      <c r="A743" s="220"/>
      <c r="B743" s="64" t="s">
        <v>104</v>
      </c>
      <c r="C743" s="66">
        <v>0.10678</v>
      </c>
      <c r="D743" s="66">
        <f t="shared" si="49"/>
        <v>1.7084799999999999E-14</v>
      </c>
      <c r="E743" s="66">
        <v>2.3300000000000003E-4</v>
      </c>
      <c r="F743" s="66">
        <f>_xlfn.IFNA(INDEX('hp (pSv cm2)'!$B$2:$B$52,MATCH($C743,'hp (pSv cm2)'!$A$2:$A$52,1))+($C743-INDEX('hp (pSv cm2)'!$A$2:$A$52,MATCH($C743,'hp (pSv cm2)'!$A$2:$A$52,1)))*(INDEX('hp (pSv cm2)'!$B$2:$B$52,MATCH($C743,'hp (pSv cm2)'!$A$2:$A$52,1)+1)-INDEX('hp (pSv cm2)'!$B$2:$B$52,MATCH($C743,'hp (pSv cm2)'!$A$2:$A$52,1)))/(INDEX('hp (pSv cm2)'!$A$2:$A$52,MATCH($C743,'hp (pSv cm2)'!$A$2:$A$52,1)+1)-INDEX('hp (pSv cm2)'!$A$2:$A$52,MATCH($C743,'hp (pSv cm2)'!$A$2:$A$52,1))),$C743*'hp (pSv cm2)'!$B$2/'hp (pSv cm2)'!$A$2)</f>
        <v>0.5490524</v>
      </c>
      <c r="G743" s="67">
        <f t="shared" si="50"/>
        <v>1.279292092E-4</v>
      </c>
      <c r="H743" s="83">
        <f>_xlfn.IFNA(0.997*(INDEX('Mass attenuation coefficients'!$B$2:$B$37,MATCH($C743,'Mass attenuation coefficients'!$A$2:$A$37,1))+($C743-INDEX('Mass attenuation coefficients'!$A$2:$A$37,MATCH($C743,'Mass attenuation coefficients'!$A$2:$A$37,1)))*(INDEX('Mass attenuation coefficients'!$B$2:$B$37,MATCH($C743,'Mass attenuation coefficients'!$A$2:$A$37,1)+1)-INDEX('Mass attenuation coefficients'!$B$2:$B$37,MATCH($C743,'Mass attenuation coefficients'!$A$2:$A$37,1)))/(INDEX('Mass attenuation coefficients'!$A$2:$A$37,MATCH($C743,'Mass attenuation coefficients'!$A$2:$A$37,1)+1)-INDEX('Mass attenuation coefficients'!$A$2:$A$37,MATCH($C743,'Mass attenuation coefficients'!$A$2:$A$37,1)))),0.997*$C743*'Mass attenuation coefficients'!$B$2/'Mass attenuation coefficients'!$A$2)</f>
        <v>0.16745699735999997</v>
      </c>
      <c r="I743" s="83">
        <f>_xlfn.IFNA(INDEX('Shultis Faw'!$C$2:$C$26,MATCH($C743,'Shultis Faw'!$A$2:$A$26,1))+($C743-INDEX('Shultis Faw'!$A$2:$A$26,MATCH($C743,'Shultis Faw'!$A$2:$A$26,1)))*(INDEX('Shultis Faw'!$C$2:$C$26,MATCH($C743,'Shultis Faw'!$A$2:$A$26,1)+1)-INDEX('Shultis Faw'!$C$2:$C$26,MATCH($C743,'Shultis Faw'!$A$2:$A$26,1)))/(INDEX('Shultis Faw'!$A$2:$A$26,MATCH($C743,'Shultis Faw'!$A$2:$A$26,1)+1)-INDEX('Shultis Faw'!$A$2:$A$26,MATCH($C743,'Shultis Faw'!$A$2:$A$26,1))),$C743*'Shultis Faw'!$C$2/'Shultis Faw'!$A$2)</f>
        <v>4.5591303999999999</v>
      </c>
      <c r="J743" s="83">
        <f>_xlfn.IFNA(INDEX('Shultis Faw'!$D$2:$D$26,MATCH($C743,'Shultis Faw'!$A$2:$A$26,1))+($C743-INDEX('Shultis Faw'!$A$2:$A$26,MATCH($C743,'Shultis Faw'!$A$2:$A$26,1)))*(INDEX('Shultis Faw'!$D$2:$D$26,MATCH($C743,'Shultis Faw'!$A$2:$A$26,1)+1)-INDEX('Shultis Faw'!$D$2:$D$26,MATCH($C743,'Shultis Faw'!$A$2:$A$26,1)))/(INDEX('Shultis Faw'!$A$2:$A$26,MATCH($C743,'Shultis Faw'!$A$2:$A$26,1)+1)-INDEX('Shultis Faw'!$A$2:$A$26,MATCH($C743,'Shultis Faw'!$A$2:$A$26,1))),$C743*'Shultis Faw'!$D$2/'Shultis Faw'!$A$2)</f>
        <v>2.2238476</v>
      </c>
      <c r="K743" s="83">
        <f>_xlfn.IFNA(INDEX('Shultis Faw'!$B$2:$B$26,MATCH($C743,'Shultis Faw'!$A$2:$A$26,1))+($C743-INDEX('Shultis Faw'!$A$2:$A$26,MATCH($C743,'Shultis Faw'!$A$2:$A$26,1)))*(INDEX('Shultis Faw'!$B$2:$B$26,MATCH($C743,'Shultis Faw'!$A$2:$A$26,1)+1)-INDEX('Shultis Faw'!$B$2:$B$26,MATCH($C743,'Shultis Faw'!$A$2:$A$26,1)))/(INDEX('Shultis Faw'!$A$2:$A$26,MATCH($C743,'Shultis Faw'!$A$2:$A$26,1)+1)-INDEX('Shultis Faw'!$A$2:$A$26,MATCH($C743,'Shultis Faw'!$A$2:$A$26,1))),$C743*'Shultis Faw'!$B$2/'Shultis Faw'!$A$2)</f>
        <v>-0.18586439999999999</v>
      </c>
      <c r="L743" s="83">
        <f>_xlfn.IFNA(INDEX('Shultis Faw'!$E$2:$E$26,MATCH($C743,'Shultis Faw'!$A$2:$A$26,1))+($C743-INDEX('Shultis Faw'!$A$2:$A$26,MATCH($C743,'Shultis Faw'!$A$2:$A$26,1)))*(INDEX('Shultis Faw'!$E$2:$E$26,MATCH($C743,'Shultis Faw'!$A$2:$A$26,1)+1)-INDEX('Shultis Faw'!$E$2:$E$26,MATCH($C743,'Shultis Faw'!$A$2:$A$26,1)))/(INDEX('Shultis Faw'!$A$2:$A$26,MATCH($C743,'Shultis Faw'!$A$2:$A$26,1)+1)-INDEX('Shultis Faw'!$A$2:$A$26,MATCH($C743,'Shultis Faw'!$A$2:$A$26,1))),$C743*'Shultis Faw'!$E$2/'Shultis Faw'!$A$2)</f>
        <v>8.1935560000000004E-2</v>
      </c>
      <c r="M743" s="83">
        <f>_xlfn.IFNA(INDEX('Shultis Faw'!$F$2:$F$26,MATCH($C743,'Shultis Faw'!$A$2:$A$26,1))+($C743-INDEX('Shultis Faw'!$A$2:$A$26,MATCH($C743,'Shultis Faw'!$A$2:$A$26,1)))*(INDEX('Shultis Faw'!$F$2:$F$26,MATCH($C743,'Shultis Faw'!$A$2:$A$26,1)+1)-INDEX('Shultis Faw'!$F$2:$F$26,MATCH($C743,'Shultis Faw'!$A$2:$A$26,1)))/(INDEX('Shultis Faw'!$A$2:$A$26,MATCH($C743,'Shultis Faw'!$A$2:$A$26,1)+1)-INDEX('Shultis Faw'!$A$2:$A$26,MATCH($C743,'Shultis Faw'!$A$2:$A$26,1))),$C743*'Shultis Faw'!$F$2/'Shultis Faw'!$A$2)</f>
        <v>13.446616000000001</v>
      </c>
      <c r="N743" s="83">
        <f>J743*(H743*'Externe blootstelling'!$D$23/2)^K743+L743*(TANH(((H743*'Externe blootstelling'!$D$23)/(2*M743))-2)-TANH(-2))/(1-TANH(-2))</f>
        <v>1.8746219523372247</v>
      </c>
      <c r="O743" s="83">
        <f>IF(N743=1,1+(I743-1)*H743*'Externe blootstelling'!$D$23/2,1+(I743-1)*(N743^(H743*'Externe blootstelling'!$D$23/2)-1)/(N743-1))</f>
        <v>16.656851578474381</v>
      </c>
      <c r="P743" s="67">
        <f>G743*EXP(-H743*'Externe blootstelling'!$D$23/2)*O743</f>
        <v>1.728533825403403E-4</v>
      </c>
      <c r="Q743" s="68"/>
    </row>
    <row r="744" spans="1:17" x14ac:dyDescent="0.2">
      <c r="A744" s="220"/>
      <c r="B744" s="64" t="s">
        <v>104</v>
      </c>
      <c r="C744" s="66">
        <v>0.1085</v>
      </c>
      <c r="D744" s="66">
        <f t="shared" si="49"/>
        <v>1.7359999999999998E-14</v>
      </c>
      <c r="E744" s="66">
        <v>6.0000000000000002E-5</v>
      </c>
      <c r="F744" s="66">
        <f>_xlfn.IFNA(INDEX('hp (pSv cm2)'!$B$2:$B$52,MATCH($C744,'hp (pSv cm2)'!$A$2:$A$52,1))+($C744-INDEX('hp (pSv cm2)'!$A$2:$A$52,MATCH($C744,'hp (pSv cm2)'!$A$2:$A$52,1)))*(INDEX('hp (pSv cm2)'!$B$2:$B$52,MATCH($C744,'hp (pSv cm2)'!$A$2:$A$52,1)+1)-INDEX('hp (pSv cm2)'!$B$2:$B$52,MATCH($C744,'hp (pSv cm2)'!$A$2:$A$52,1)))/(INDEX('hp (pSv cm2)'!$A$2:$A$52,MATCH($C744,'hp (pSv cm2)'!$A$2:$A$52,1)+1)-INDEX('hp (pSv cm2)'!$A$2:$A$52,MATCH($C744,'hp (pSv cm2)'!$A$2:$A$52,1))),$C744*'hp (pSv cm2)'!$B$2/'hp (pSv cm2)'!$A$2)</f>
        <v>0.55693000000000004</v>
      </c>
      <c r="G744" s="67">
        <f t="shared" si="50"/>
        <v>3.3415800000000006E-5</v>
      </c>
      <c r="H744" s="83">
        <f>_xlfn.IFNA(0.997*(INDEX('Mass attenuation coefficients'!$B$2:$B$37,MATCH($C744,'Mass attenuation coefficients'!$A$2:$A$37,1))+($C744-INDEX('Mass attenuation coefficients'!$A$2:$A$37,MATCH($C744,'Mass attenuation coefficients'!$A$2:$A$37,1)))*(INDEX('Mass attenuation coefficients'!$B$2:$B$37,MATCH($C744,'Mass attenuation coefficients'!$A$2:$A$37,1)+1)-INDEX('Mass attenuation coefficients'!$B$2:$B$37,MATCH($C744,'Mass attenuation coefficients'!$A$2:$A$37,1)))/(INDEX('Mass attenuation coefficients'!$A$2:$A$37,MATCH($C744,'Mass attenuation coefficients'!$A$2:$A$37,1)+1)-INDEX('Mass attenuation coefficients'!$A$2:$A$37,MATCH($C744,'Mass attenuation coefficients'!$A$2:$A$37,1)))),0.997*$C744*'Mass attenuation coefficients'!$B$2/'Mass attenuation coefficients'!$A$2)</f>
        <v>0.166764202</v>
      </c>
      <c r="I744" s="83">
        <f>_xlfn.IFNA(INDEX('Shultis Faw'!$C$2:$C$26,MATCH($C744,'Shultis Faw'!$A$2:$A$26,1))+($C744-INDEX('Shultis Faw'!$A$2:$A$26,MATCH($C744,'Shultis Faw'!$A$2:$A$26,1)))*(INDEX('Shultis Faw'!$C$2:$C$26,MATCH($C744,'Shultis Faw'!$A$2:$A$26,1)+1)-INDEX('Shultis Faw'!$C$2:$C$26,MATCH($C744,'Shultis Faw'!$A$2:$A$26,1)))/(INDEX('Shultis Faw'!$A$2:$A$26,MATCH($C744,'Shultis Faw'!$A$2:$A$26,1)+1)-INDEX('Shultis Faw'!$A$2:$A$26,MATCH($C744,'Shultis Faw'!$A$2:$A$26,1))),$C744*'Shultis Faw'!$C$2/'Shultis Faw'!$A$2)</f>
        <v>4.5327799999999998</v>
      </c>
      <c r="J744" s="83">
        <f>_xlfn.IFNA(INDEX('Shultis Faw'!$D$2:$D$26,MATCH($C744,'Shultis Faw'!$A$2:$A$26,1))+($C744-INDEX('Shultis Faw'!$A$2:$A$26,MATCH($C744,'Shultis Faw'!$A$2:$A$26,1)))*(INDEX('Shultis Faw'!$D$2:$D$26,MATCH($C744,'Shultis Faw'!$A$2:$A$26,1)+1)-INDEX('Shultis Faw'!$D$2:$D$26,MATCH($C744,'Shultis Faw'!$A$2:$A$26,1)))/(INDEX('Shultis Faw'!$A$2:$A$26,MATCH($C744,'Shultis Faw'!$A$2:$A$26,1)+1)-INDEX('Shultis Faw'!$A$2:$A$26,MATCH($C744,'Shultis Faw'!$A$2:$A$26,1))),$C744*'Shultis Faw'!$D$2/'Shultis Faw'!$A$2)</f>
        <v>2.2245699999999999</v>
      </c>
      <c r="K744" s="83">
        <f>_xlfn.IFNA(INDEX('Shultis Faw'!$B$2:$B$26,MATCH($C744,'Shultis Faw'!$A$2:$A$26,1))+($C744-INDEX('Shultis Faw'!$A$2:$A$26,MATCH($C744,'Shultis Faw'!$A$2:$A$26,1)))*(INDEX('Shultis Faw'!$B$2:$B$26,MATCH($C744,'Shultis Faw'!$A$2:$A$26,1)+1)-INDEX('Shultis Faw'!$B$2:$B$26,MATCH($C744,'Shultis Faw'!$A$2:$A$26,1)))/(INDEX('Shultis Faw'!$A$2:$A$26,MATCH($C744,'Shultis Faw'!$A$2:$A$26,1)+1)-INDEX('Shultis Faw'!$A$2:$A$26,MATCH($C744,'Shultis Faw'!$A$2:$A$26,1))),$C744*'Shultis Faw'!$B$2/'Shultis Faw'!$A$2)</f>
        <v>-0.18583</v>
      </c>
      <c r="L744" s="83">
        <f>_xlfn.IFNA(INDEX('Shultis Faw'!$E$2:$E$26,MATCH($C744,'Shultis Faw'!$A$2:$A$26,1))+($C744-INDEX('Shultis Faw'!$A$2:$A$26,MATCH($C744,'Shultis Faw'!$A$2:$A$26,1)))*(INDEX('Shultis Faw'!$E$2:$E$26,MATCH($C744,'Shultis Faw'!$A$2:$A$26,1)+1)-INDEX('Shultis Faw'!$E$2:$E$26,MATCH($C744,'Shultis Faw'!$A$2:$A$26,1)))/(INDEX('Shultis Faw'!$A$2:$A$26,MATCH($C744,'Shultis Faw'!$A$2:$A$26,1)+1)-INDEX('Shultis Faw'!$A$2:$A$26,MATCH($C744,'Shultis Faw'!$A$2:$A$26,1))),$C744*'Shultis Faw'!$E$2/'Shultis Faw'!$A$2)</f>
        <v>8.1767000000000006E-2</v>
      </c>
      <c r="M744" s="83">
        <f>_xlfn.IFNA(INDEX('Shultis Faw'!$F$2:$F$26,MATCH($C744,'Shultis Faw'!$A$2:$A$26,1))+($C744-INDEX('Shultis Faw'!$A$2:$A$26,MATCH($C744,'Shultis Faw'!$A$2:$A$26,1)))*(INDEX('Shultis Faw'!$F$2:$F$26,MATCH($C744,'Shultis Faw'!$A$2:$A$26,1)+1)-INDEX('Shultis Faw'!$F$2:$F$26,MATCH($C744,'Shultis Faw'!$A$2:$A$26,1)))/(INDEX('Shultis Faw'!$A$2:$A$26,MATCH($C744,'Shultis Faw'!$A$2:$A$26,1)+1)-INDEX('Shultis Faw'!$A$2:$A$26,MATCH($C744,'Shultis Faw'!$A$2:$A$26,1))),$C744*'Shultis Faw'!$F$2/'Shultis Faw'!$A$2)</f>
        <v>13.4762</v>
      </c>
      <c r="N744" s="83">
        <f>J744*(H744*'Externe blootstelling'!$D$23/2)^K744+L744*(TANH(((H744*'Externe blootstelling'!$D$23)/(2*M744))-2)-TANH(-2))/(1-TANH(-2))</f>
        <v>1.8767285372660119</v>
      </c>
      <c r="O744" s="83">
        <f>IF(N744=1,1+(I744-1)*H744*'Externe blootstelling'!$D$23/2,1+(I744-1)*(N744^(H744*'Externe blootstelling'!$D$23/2)-1)/(N744-1))</f>
        <v>16.431046370515691</v>
      </c>
      <c r="P744" s="67">
        <f>G744*EXP(-H744*'Externe blootstelling'!$D$23/2)*O744</f>
        <v>4.5003417378071194E-5</v>
      </c>
      <c r="Q744" s="68"/>
    </row>
    <row r="745" spans="1:17" x14ac:dyDescent="0.2">
      <c r="A745" s="220"/>
      <c r="B745" s="64" t="s">
        <v>104</v>
      </c>
      <c r="C745" s="66">
        <v>0.110856</v>
      </c>
      <c r="D745" s="66">
        <f t="shared" si="49"/>
        <v>1.773696E-14</v>
      </c>
      <c r="E745" s="66">
        <v>5.8E-4</v>
      </c>
      <c r="F745" s="66">
        <f>_xlfn.IFNA(INDEX('hp (pSv cm2)'!$B$2:$B$52,MATCH($C745,'hp (pSv cm2)'!$A$2:$A$52,1))+($C745-INDEX('hp (pSv cm2)'!$A$2:$A$52,MATCH($C745,'hp (pSv cm2)'!$A$2:$A$52,1)))*(INDEX('hp (pSv cm2)'!$B$2:$B$52,MATCH($C745,'hp (pSv cm2)'!$A$2:$A$52,1)+1)-INDEX('hp (pSv cm2)'!$B$2:$B$52,MATCH($C745,'hp (pSv cm2)'!$A$2:$A$52,1)))/(INDEX('hp (pSv cm2)'!$A$2:$A$52,MATCH($C745,'hp (pSv cm2)'!$A$2:$A$52,1)+1)-INDEX('hp (pSv cm2)'!$A$2:$A$52,MATCH($C745,'hp (pSv cm2)'!$A$2:$A$52,1))),$C745*'hp (pSv cm2)'!$B$2/'hp (pSv cm2)'!$A$2)</f>
        <v>0.56772047999999997</v>
      </c>
      <c r="G745" s="67">
        <f t="shared" si="50"/>
        <v>3.2927787839999998E-4</v>
      </c>
      <c r="H745" s="83">
        <f>_xlfn.IFNA(0.997*(INDEX('Mass attenuation coefficients'!$B$2:$B$37,MATCH($C745,'Mass attenuation coefficients'!$A$2:$A$37,1))+($C745-INDEX('Mass attenuation coefficients'!$A$2:$A$37,MATCH($C745,'Mass attenuation coefficients'!$A$2:$A$37,1)))*(INDEX('Mass attenuation coefficients'!$B$2:$B$37,MATCH($C745,'Mass attenuation coefficients'!$A$2:$A$37,1)+1)-INDEX('Mass attenuation coefficients'!$B$2:$B$37,MATCH($C745,'Mass attenuation coefficients'!$A$2:$A$37,1)))/(INDEX('Mass attenuation coefficients'!$A$2:$A$37,MATCH($C745,'Mass attenuation coefficients'!$A$2:$A$37,1)+1)-INDEX('Mass attenuation coefficients'!$A$2:$A$37,MATCH($C745,'Mass attenuation coefficients'!$A$2:$A$37,1)))),0.997*$C745*'Mass attenuation coefficients'!$B$2/'Mass attenuation coefficients'!$A$2)</f>
        <v>0.165815233472</v>
      </c>
      <c r="I745" s="83">
        <f>_xlfn.IFNA(INDEX('Shultis Faw'!$C$2:$C$26,MATCH($C745,'Shultis Faw'!$A$2:$A$26,1))+($C745-INDEX('Shultis Faw'!$A$2:$A$26,MATCH($C745,'Shultis Faw'!$A$2:$A$26,1)))*(INDEX('Shultis Faw'!$C$2:$C$26,MATCH($C745,'Shultis Faw'!$A$2:$A$26,1)+1)-INDEX('Shultis Faw'!$C$2:$C$26,MATCH($C745,'Shultis Faw'!$A$2:$A$26,1)))/(INDEX('Shultis Faw'!$A$2:$A$26,MATCH($C745,'Shultis Faw'!$A$2:$A$26,1)+1)-INDEX('Shultis Faw'!$A$2:$A$26,MATCH($C745,'Shultis Faw'!$A$2:$A$26,1))),$C745*'Shultis Faw'!$C$2/'Shultis Faw'!$A$2)</f>
        <v>4.4966860799999999</v>
      </c>
      <c r="J745" s="83">
        <f>_xlfn.IFNA(INDEX('Shultis Faw'!$D$2:$D$26,MATCH($C745,'Shultis Faw'!$A$2:$A$26,1))+($C745-INDEX('Shultis Faw'!$A$2:$A$26,MATCH($C745,'Shultis Faw'!$A$2:$A$26,1)))*(INDEX('Shultis Faw'!$D$2:$D$26,MATCH($C745,'Shultis Faw'!$A$2:$A$26,1)+1)-INDEX('Shultis Faw'!$D$2:$D$26,MATCH($C745,'Shultis Faw'!$A$2:$A$26,1)))/(INDEX('Shultis Faw'!$A$2:$A$26,MATCH($C745,'Shultis Faw'!$A$2:$A$26,1)+1)-INDEX('Shultis Faw'!$A$2:$A$26,MATCH($C745,'Shultis Faw'!$A$2:$A$26,1))),$C745*'Shultis Faw'!$D$2/'Shultis Faw'!$A$2)</f>
        <v>2.22555952</v>
      </c>
      <c r="K745" s="83">
        <f>_xlfn.IFNA(INDEX('Shultis Faw'!$B$2:$B$26,MATCH($C745,'Shultis Faw'!$A$2:$A$26,1))+($C745-INDEX('Shultis Faw'!$A$2:$A$26,MATCH($C745,'Shultis Faw'!$A$2:$A$26,1)))*(INDEX('Shultis Faw'!$B$2:$B$26,MATCH($C745,'Shultis Faw'!$A$2:$A$26,1)+1)-INDEX('Shultis Faw'!$B$2:$B$26,MATCH($C745,'Shultis Faw'!$A$2:$A$26,1)))/(INDEX('Shultis Faw'!$A$2:$A$26,MATCH($C745,'Shultis Faw'!$A$2:$A$26,1)+1)-INDEX('Shultis Faw'!$A$2:$A$26,MATCH($C745,'Shultis Faw'!$A$2:$A$26,1))),$C745*'Shultis Faw'!$B$2/'Shultis Faw'!$A$2)</f>
        <v>-0.18578288000000001</v>
      </c>
      <c r="L745" s="83">
        <f>_xlfn.IFNA(INDEX('Shultis Faw'!$E$2:$E$26,MATCH($C745,'Shultis Faw'!$A$2:$A$26,1))+($C745-INDEX('Shultis Faw'!$A$2:$A$26,MATCH($C745,'Shultis Faw'!$A$2:$A$26,1)))*(INDEX('Shultis Faw'!$E$2:$E$26,MATCH($C745,'Shultis Faw'!$A$2:$A$26,1)+1)-INDEX('Shultis Faw'!$E$2:$E$26,MATCH($C745,'Shultis Faw'!$A$2:$A$26,1)))/(INDEX('Shultis Faw'!$A$2:$A$26,MATCH($C745,'Shultis Faw'!$A$2:$A$26,1)+1)-INDEX('Shultis Faw'!$A$2:$A$26,MATCH($C745,'Shultis Faw'!$A$2:$A$26,1))),$C745*'Shultis Faw'!$E$2/'Shultis Faw'!$A$2)</f>
        <v>8.1536112000000008E-2</v>
      </c>
      <c r="M745" s="83">
        <f>_xlfn.IFNA(INDEX('Shultis Faw'!$F$2:$F$26,MATCH($C745,'Shultis Faw'!$A$2:$A$26,1))+($C745-INDEX('Shultis Faw'!$A$2:$A$26,MATCH($C745,'Shultis Faw'!$A$2:$A$26,1)))*(INDEX('Shultis Faw'!$F$2:$F$26,MATCH($C745,'Shultis Faw'!$A$2:$A$26,1)+1)-INDEX('Shultis Faw'!$F$2:$F$26,MATCH($C745,'Shultis Faw'!$A$2:$A$26,1)))/(INDEX('Shultis Faw'!$A$2:$A$26,MATCH($C745,'Shultis Faw'!$A$2:$A$26,1)+1)-INDEX('Shultis Faw'!$A$2:$A$26,MATCH($C745,'Shultis Faw'!$A$2:$A$26,1))),$C745*'Shultis Faw'!$F$2/'Shultis Faw'!$A$2)</f>
        <v>13.516723199999999</v>
      </c>
      <c r="N745" s="83">
        <f>J745*(H745*'Externe blootstelling'!$D$23/2)^K745+L745*(TANH(((H745*'Externe blootstelling'!$D$23)/(2*M745))-2)-TANH(-2))/(1-TANH(-2))</f>
        <v>1.8796266187910187</v>
      </c>
      <c r="O745" s="83">
        <f>IF(N745=1,1+(I745-1)*H745*'Externe blootstelling'!$D$23/2,1+(I745-1)*(N745^(H745*'Externe blootstelling'!$D$23/2)-1)/(N745-1))</f>
        <v>16.124963714351161</v>
      </c>
      <c r="P745" s="67">
        <f>G745*EXP(-H745*'Externe blootstelling'!$D$23/2)*O745</f>
        <v>4.4144000412030027E-4</v>
      </c>
      <c r="Q745" s="68"/>
    </row>
    <row r="746" spans="1:17" x14ac:dyDescent="0.2">
      <c r="A746" s="220"/>
      <c r="B746" s="64" t="s">
        <v>104</v>
      </c>
      <c r="C746" s="66">
        <v>0.1147</v>
      </c>
      <c r="D746" s="66">
        <f t="shared" si="49"/>
        <v>1.8351999999999998E-14</v>
      </c>
      <c r="E746" s="66">
        <v>1E-4</v>
      </c>
      <c r="F746" s="66">
        <f>_xlfn.IFNA(INDEX('hp (pSv cm2)'!$B$2:$B$52,MATCH($C746,'hp (pSv cm2)'!$A$2:$A$52,1))+($C746-INDEX('hp (pSv cm2)'!$A$2:$A$52,MATCH($C746,'hp (pSv cm2)'!$A$2:$A$52,1)))*(INDEX('hp (pSv cm2)'!$B$2:$B$52,MATCH($C746,'hp (pSv cm2)'!$A$2:$A$52,1)+1)-INDEX('hp (pSv cm2)'!$B$2:$B$52,MATCH($C746,'hp (pSv cm2)'!$A$2:$A$52,1)))/(INDEX('hp (pSv cm2)'!$A$2:$A$52,MATCH($C746,'hp (pSv cm2)'!$A$2:$A$52,1)+1)-INDEX('hp (pSv cm2)'!$A$2:$A$52,MATCH($C746,'hp (pSv cm2)'!$A$2:$A$52,1))),$C746*'hp (pSv cm2)'!$B$2/'hp (pSv cm2)'!$A$2)</f>
        <v>0.58532600000000001</v>
      </c>
      <c r="G746" s="67">
        <f t="shared" si="50"/>
        <v>5.8532600000000003E-5</v>
      </c>
      <c r="H746" s="83">
        <f>_xlfn.IFNA(0.997*(INDEX('Mass attenuation coefficients'!$B$2:$B$37,MATCH($C746,'Mass attenuation coefficients'!$A$2:$A$37,1))+($C746-INDEX('Mass attenuation coefficients'!$A$2:$A$37,MATCH($C746,'Mass attenuation coefficients'!$A$2:$A$37,1)))*(INDEX('Mass attenuation coefficients'!$B$2:$B$37,MATCH($C746,'Mass attenuation coefficients'!$A$2:$A$37,1)+1)-INDEX('Mass attenuation coefficients'!$B$2:$B$37,MATCH($C746,'Mass attenuation coefficients'!$A$2:$A$37,1)))/(INDEX('Mass attenuation coefficients'!$A$2:$A$37,MATCH($C746,'Mass attenuation coefficients'!$A$2:$A$37,1)+1)-INDEX('Mass attenuation coefficients'!$A$2:$A$37,MATCH($C746,'Mass attenuation coefficients'!$A$2:$A$37,1)))),0.997*$C746*'Mass attenuation coefficients'!$B$2/'Mass attenuation coefficients'!$A$2)</f>
        <v>0.16426691639999999</v>
      </c>
      <c r="I746" s="83">
        <f>_xlfn.IFNA(INDEX('Shultis Faw'!$C$2:$C$26,MATCH($C746,'Shultis Faw'!$A$2:$A$26,1))+($C746-INDEX('Shultis Faw'!$A$2:$A$26,MATCH($C746,'Shultis Faw'!$A$2:$A$26,1)))*(INDEX('Shultis Faw'!$C$2:$C$26,MATCH($C746,'Shultis Faw'!$A$2:$A$26,1)+1)-INDEX('Shultis Faw'!$C$2:$C$26,MATCH($C746,'Shultis Faw'!$A$2:$A$26,1)))/(INDEX('Shultis Faw'!$A$2:$A$26,MATCH($C746,'Shultis Faw'!$A$2:$A$26,1)+1)-INDEX('Shultis Faw'!$A$2:$A$26,MATCH($C746,'Shultis Faw'!$A$2:$A$26,1))),$C746*'Shultis Faw'!$C$2/'Shultis Faw'!$A$2)</f>
        <v>4.4377960000000005</v>
      </c>
      <c r="J746" s="83">
        <f>_xlfn.IFNA(INDEX('Shultis Faw'!$D$2:$D$26,MATCH($C746,'Shultis Faw'!$A$2:$A$26,1))+($C746-INDEX('Shultis Faw'!$A$2:$A$26,MATCH($C746,'Shultis Faw'!$A$2:$A$26,1)))*(INDEX('Shultis Faw'!$D$2:$D$26,MATCH($C746,'Shultis Faw'!$A$2:$A$26,1)+1)-INDEX('Shultis Faw'!$D$2:$D$26,MATCH($C746,'Shultis Faw'!$A$2:$A$26,1)))/(INDEX('Shultis Faw'!$A$2:$A$26,MATCH($C746,'Shultis Faw'!$A$2:$A$26,1)+1)-INDEX('Shultis Faw'!$A$2:$A$26,MATCH($C746,'Shultis Faw'!$A$2:$A$26,1))),$C746*'Shultis Faw'!$D$2/'Shultis Faw'!$A$2)</f>
        <v>2.2271740000000002</v>
      </c>
      <c r="K746" s="83">
        <f>_xlfn.IFNA(INDEX('Shultis Faw'!$B$2:$B$26,MATCH($C746,'Shultis Faw'!$A$2:$A$26,1))+($C746-INDEX('Shultis Faw'!$A$2:$A$26,MATCH($C746,'Shultis Faw'!$A$2:$A$26,1)))*(INDEX('Shultis Faw'!$B$2:$B$26,MATCH($C746,'Shultis Faw'!$A$2:$A$26,1)+1)-INDEX('Shultis Faw'!$B$2:$B$26,MATCH($C746,'Shultis Faw'!$A$2:$A$26,1)))/(INDEX('Shultis Faw'!$A$2:$A$26,MATCH($C746,'Shultis Faw'!$A$2:$A$26,1)+1)-INDEX('Shultis Faw'!$A$2:$A$26,MATCH($C746,'Shultis Faw'!$A$2:$A$26,1))),$C746*'Shultis Faw'!$B$2/'Shultis Faw'!$A$2)</f>
        <v>-0.18570600000000001</v>
      </c>
      <c r="L746" s="83">
        <f>_xlfn.IFNA(INDEX('Shultis Faw'!$E$2:$E$26,MATCH($C746,'Shultis Faw'!$A$2:$A$26,1))+($C746-INDEX('Shultis Faw'!$A$2:$A$26,MATCH($C746,'Shultis Faw'!$A$2:$A$26,1)))*(INDEX('Shultis Faw'!$E$2:$E$26,MATCH($C746,'Shultis Faw'!$A$2:$A$26,1)+1)-INDEX('Shultis Faw'!$E$2:$E$26,MATCH($C746,'Shultis Faw'!$A$2:$A$26,1)))/(INDEX('Shultis Faw'!$A$2:$A$26,MATCH($C746,'Shultis Faw'!$A$2:$A$26,1)+1)-INDEX('Shultis Faw'!$A$2:$A$26,MATCH($C746,'Shultis Faw'!$A$2:$A$26,1))),$C746*'Shultis Faw'!$E$2/'Shultis Faw'!$A$2)</f>
        <v>8.1159400000000007E-2</v>
      </c>
      <c r="M746" s="83">
        <f>_xlfn.IFNA(INDEX('Shultis Faw'!$F$2:$F$26,MATCH($C746,'Shultis Faw'!$A$2:$A$26,1))+($C746-INDEX('Shultis Faw'!$A$2:$A$26,MATCH($C746,'Shultis Faw'!$A$2:$A$26,1)))*(INDEX('Shultis Faw'!$F$2:$F$26,MATCH($C746,'Shultis Faw'!$A$2:$A$26,1)+1)-INDEX('Shultis Faw'!$F$2:$F$26,MATCH($C746,'Shultis Faw'!$A$2:$A$26,1)))/(INDEX('Shultis Faw'!$A$2:$A$26,MATCH($C746,'Shultis Faw'!$A$2:$A$26,1)+1)-INDEX('Shultis Faw'!$A$2:$A$26,MATCH($C746,'Shultis Faw'!$A$2:$A$26,1))),$C746*'Shultis Faw'!$F$2/'Shultis Faw'!$A$2)</f>
        <v>13.582839999999999</v>
      </c>
      <c r="N746" s="83">
        <f>J746*(H746*'Externe blootstelling'!$D$23/2)^K746+L746*(TANH(((H746*'Externe blootstelling'!$D$23)/(2*M746))-2)-TANH(-2))/(1-TANH(-2))</f>
        <v>1.8843866330836392</v>
      </c>
      <c r="O746" s="83">
        <f>IF(N746=1,1+(I746-1)*H746*'Externe blootstelling'!$D$23/2,1+(I746-1)*(N746^(H746*'Externe blootstelling'!$D$23/2)-1)/(N746-1))</f>
        <v>15.63351121441706</v>
      </c>
      <c r="P746" s="67">
        <f>G746*EXP(-H746*'Externe blootstelling'!$D$23/2)*O746</f>
        <v>7.7866582627941704E-5</v>
      </c>
      <c r="Q746" s="68"/>
    </row>
    <row r="747" spans="1:17" x14ac:dyDescent="0.2">
      <c r="A747" s="220"/>
      <c r="B747" s="64" t="s">
        <v>104</v>
      </c>
      <c r="C747" s="66">
        <v>0.122319</v>
      </c>
      <c r="D747" s="66">
        <f t="shared" si="49"/>
        <v>1.9571039999999998E-14</v>
      </c>
      <c r="E747" s="66">
        <v>1.238E-2</v>
      </c>
      <c r="F747" s="66">
        <f>_xlfn.IFNA(INDEX('hp (pSv cm2)'!$B$2:$B$52,MATCH($C747,'hp (pSv cm2)'!$A$2:$A$52,1))+($C747-INDEX('hp (pSv cm2)'!$A$2:$A$52,MATCH($C747,'hp (pSv cm2)'!$A$2:$A$52,1)))*(INDEX('hp (pSv cm2)'!$B$2:$B$52,MATCH($C747,'hp (pSv cm2)'!$A$2:$A$52,1)+1)-INDEX('hp (pSv cm2)'!$B$2:$B$52,MATCH($C747,'hp (pSv cm2)'!$A$2:$A$52,1)))/(INDEX('hp (pSv cm2)'!$A$2:$A$52,MATCH($C747,'hp (pSv cm2)'!$A$2:$A$52,1)+1)-INDEX('hp (pSv cm2)'!$A$2:$A$52,MATCH($C747,'hp (pSv cm2)'!$A$2:$A$52,1))),$C747*'hp (pSv cm2)'!$B$2/'hp (pSv cm2)'!$A$2)</f>
        <v>0.62022102000000001</v>
      </c>
      <c r="G747" s="67">
        <f t="shared" si="50"/>
        <v>7.6783362276000005E-3</v>
      </c>
      <c r="H747" s="83">
        <f>_xlfn.IFNA(0.997*(INDEX('Mass attenuation coefficients'!$B$2:$B$37,MATCH($C747,'Mass attenuation coefficients'!$A$2:$A$37,1))+($C747-INDEX('Mass attenuation coefficients'!$A$2:$A$37,MATCH($C747,'Mass attenuation coefficients'!$A$2:$A$37,1)))*(INDEX('Mass attenuation coefficients'!$B$2:$B$37,MATCH($C747,'Mass attenuation coefficients'!$A$2:$A$37,1)+1)-INDEX('Mass attenuation coefficients'!$B$2:$B$37,MATCH($C747,'Mass attenuation coefficients'!$A$2:$A$37,1)))/(INDEX('Mass attenuation coefficients'!$A$2:$A$37,MATCH($C747,'Mass attenuation coefficients'!$A$2:$A$37,1)+1)-INDEX('Mass attenuation coefficients'!$A$2:$A$37,MATCH($C747,'Mass attenuation coefficients'!$A$2:$A$37,1)))),0.997*$C747*'Mass attenuation coefficients'!$B$2/'Mass attenuation coefficients'!$A$2)</f>
        <v>0.16119807462799998</v>
      </c>
      <c r="I747" s="83">
        <f>_xlfn.IFNA(INDEX('Shultis Faw'!$C$2:$C$26,MATCH($C747,'Shultis Faw'!$A$2:$A$26,1))+($C747-INDEX('Shultis Faw'!$A$2:$A$26,MATCH($C747,'Shultis Faw'!$A$2:$A$26,1)))*(INDEX('Shultis Faw'!$C$2:$C$26,MATCH($C747,'Shultis Faw'!$A$2:$A$26,1)+1)-INDEX('Shultis Faw'!$C$2:$C$26,MATCH($C747,'Shultis Faw'!$A$2:$A$26,1)))/(INDEX('Shultis Faw'!$A$2:$A$26,MATCH($C747,'Shultis Faw'!$A$2:$A$26,1)+1)-INDEX('Shultis Faw'!$A$2:$A$26,MATCH($C747,'Shultis Faw'!$A$2:$A$26,1))),$C747*'Shultis Faw'!$C$2/'Shultis Faw'!$A$2)</f>
        <v>4.3210729199999998</v>
      </c>
      <c r="J747" s="83">
        <f>_xlfn.IFNA(INDEX('Shultis Faw'!$D$2:$D$26,MATCH($C747,'Shultis Faw'!$A$2:$A$26,1))+($C747-INDEX('Shultis Faw'!$A$2:$A$26,MATCH($C747,'Shultis Faw'!$A$2:$A$26,1)))*(INDEX('Shultis Faw'!$D$2:$D$26,MATCH($C747,'Shultis Faw'!$A$2:$A$26,1)+1)-INDEX('Shultis Faw'!$D$2:$D$26,MATCH($C747,'Shultis Faw'!$A$2:$A$26,1)))/(INDEX('Shultis Faw'!$A$2:$A$26,MATCH($C747,'Shultis Faw'!$A$2:$A$26,1)+1)-INDEX('Shultis Faw'!$A$2:$A$26,MATCH($C747,'Shultis Faw'!$A$2:$A$26,1))),$C747*'Shultis Faw'!$D$2/'Shultis Faw'!$A$2)</f>
        <v>2.23037398</v>
      </c>
      <c r="K747" s="83">
        <f>_xlfn.IFNA(INDEX('Shultis Faw'!$B$2:$B$26,MATCH($C747,'Shultis Faw'!$A$2:$A$26,1))+($C747-INDEX('Shultis Faw'!$A$2:$A$26,MATCH($C747,'Shultis Faw'!$A$2:$A$26,1)))*(INDEX('Shultis Faw'!$B$2:$B$26,MATCH($C747,'Shultis Faw'!$A$2:$A$26,1)+1)-INDEX('Shultis Faw'!$B$2:$B$26,MATCH($C747,'Shultis Faw'!$A$2:$A$26,1)))/(INDEX('Shultis Faw'!$A$2:$A$26,MATCH($C747,'Shultis Faw'!$A$2:$A$26,1)+1)-INDEX('Shultis Faw'!$A$2:$A$26,MATCH($C747,'Shultis Faw'!$A$2:$A$26,1))),$C747*'Shultis Faw'!$B$2/'Shultis Faw'!$A$2)</f>
        <v>-0.18555362</v>
      </c>
      <c r="L747" s="83">
        <f>_xlfn.IFNA(INDEX('Shultis Faw'!$E$2:$E$26,MATCH($C747,'Shultis Faw'!$A$2:$A$26,1))+($C747-INDEX('Shultis Faw'!$A$2:$A$26,MATCH($C747,'Shultis Faw'!$A$2:$A$26,1)))*(INDEX('Shultis Faw'!$E$2:$E$26,MATCH($C747,'Shultis Faw'!$A$2:$A$26,1)+1)-INDEX('Shultis Faw'!$E$2:$E$26,MATCH($C747,'Shultis Faw'!$A$2:$A$26,1)))/(INDEX('Shultis Faw'!$A$2:$A$26,MATCH($C747,'Shultis Faw'!$A$2:$A$26,1)+1)-INDEX('Shultis Faw'!$A$2:$A$26,MATCH($C747,'Shultis Faw'!$A$2:$A$26,1))),$C747*'Shultis Faw'!$E$2/'Shultis Faw'!$A$2)</f>
        <v>8.0412738000000011E-2</v>
      </c>
      <c r="M747" s="83">
        <f>_xlfn.IFNA(INDEX('Shultis Faw'!$F$2:$F$26,MATCH($C747,'Shultis Faw'!$A$2:$A$26,1))+($C747-INDEX('Shultis Faw'!$A$2:$A$26,MATCH($C747,'Shultis Faw'!$A$2:$A$26,1)))*(INDEX('Shultis Faw'!$F$2:$F$26,MATCH($C747,'Shultis Faw'!$A$2:$A$26,1)+1)-INDEX('Shultis Faw'!$F$2:$F$26,MATCH($C747,'Shultis Faw'!$A$2:$A$26,1)))/(INDEX('Shultis Faw'!$A$2:$A$26,MATCH($C747,'Shultis Faw'!$A$2:$A$26,1)+1)-INDEX('Shultis Faw'!$A$2:$A$26,MATCH($C747,'Shultis Faw'!$A$2:$A$26,1))),$C747*'Shultis Faw'!$F$2/'Shultis Faw'!$A$2)</f>
        <v>13.713886799999999</v>
      </c>
      <c r="N747" s="83">
        <f>J747*(H747*'Externe blootstelling'!$D$23/2)^K747+L747*(TANH(((H747*'Externe blootstelling'!$D$23)/(2*M747))-2)-TANH(-2))/(1-TANH(-2))</f>
        <v>1.8939396533626403</v>
      </c>
      <c r="O747" s="83">
        <f>IF(N747=1,1+(I747-1)*H747*'Externe blootstelling'!$D$23/2,1+(I747-1)*(N747^(H747*'Externe blootstelling'!$D$23/2)-1)/(N747-1))</f>
        <v>14.688279146772476</v>
      </c>
      <c r="P747" s="67">
        <f>G747*EXP(-H747*'Externe blootstelling'!$D$23/2)*O747</f>
        <v>1.0049085205436067E-2</v>
      </c>
      <c r="Q747" s="68"/>
    </row>
    <row r="748" spans="1:17" x14ac:dyDescent="0.2">
      <c r="A748" s="220"/>
      <c r="B748" s="64" t="s">
        <v>104</v>
      </c>
      <c r="C748" s="66">
        <v>0.13159999999999999</v>
      </c>
      <c r="D748" s="66">
        <f t="shared" si="49"/>
        <v>2.1055999999999998E-14</v>
      </c>
      <c r="E748" s="66">
        <v>6.0000000000000002E-5</v>
      </c>
      <c r="F748" s="66">
        <f>_xlfn.IFNA(INDEX('hp (pSv cm2)'!$B$2:$B$52,MATCH($C748,'hp (pSv cm2)'!$A$2:$A$52,1))+($C748-INDEX('hp (pSv cm2)'!$A$2:$A$52,MATCH($C748,'hp (pSv cm2)'!$A$2:$A$52,1)))*(INDEX('hp (pSv cm2)'!$B$2:$B$52,MATCH($C748,'hp (pSv cm2)'!$A$2:$A$52,1)+1)-INDEX('hp (pSv cm2)'!$B$2:$B$52,MATCH($C748,'hp (pSv cm2)'!$A$2:$A$52,1)))/(INDEX('hp (pSv cm2)'!$A$2:$A$52,MATCH($C748,'hp (pSv cm2)'!$A$2:$A$52,1)+1)-INDEX('hp (pSv cm2)'!$A$2:$A$52,MATCH($C748,'hp (pSv cm2)'!$A$2:$A$52,1))),$C748*'hp (pSv cm2)'!$B$2/'hp (pSv cm2)'!$A$2)</f>
        <v>0.66272799999999998</v>
      </c>
      <c r="G748" s="67">
        <f t="shared" si="50"/>
        <v>3.9763679999999999E-5</v>
      </c>
      <c r="H748" s="83">
        <f>_xlfn.IFNA(0.997*(INDEX('Mass attenuation coefficients'!$B$2:$B$37,MATCH($C748,'Mass attenuation coefficients'!$A$2:$A$37,1))+($C748-INDEX('Mass attenuation coefficients'!$A$2:$A$37,MATCH($C748,'Mass attenuation coefficients'!$A$2:$A$37,1)))*(INDEX('Mass attenuation coefficients'!$B$2:$B$37,MATCH($C748,'Mass attenuation coefficients'!$A$2:$A$37,1)+1)-INDEX('Mass attenuation coefficients'!$B$2:$B$37,MATCH($C748,'Mass attenuation coefficients'!$A$2:$A$37,1)))/(INDEX('Mass attenuation coefficients'!$A$2:$A$37,MATCH($C748,'Mass attenuation coefficients'!$A$2:$A$37,1)+1)-INDEX('Mass attenuation coefficients'!$A$2:$A$37,MATCH($C748,'Mass attenuation coefficients'!$A$2:$A$37,1)))),0.997*$C748*'Mass attenuation coefficients'!$B$2/'Mass attenuation coefficients'!$A$2)</f>
        <v>0.1574597992</v>
      </c>
      <c r="I748" s="83">
        <f>_xlfn.IFNA(INDEX('Shultis Faw'!$C$2:$C$26,MATCH($C748,'Shultis Faw'!$A$2:$A$26,1))+($C748-INDEX('Shultis Faw'!$A$2:$A$26,MATCH($C748,'Shultis Faw'!$A$2:$A$26,1)))*(INDEX('Shultis Faw'!$C$2:$C$26,MATCH($C748,'Shultis Faw'!$A$2:$A$26,1)+1)-INDEX('Shultis Faw'!$C$2:$C$26,MATCH($C748,'Shultis Faw'!$A$2:$A$26,1)))/(INDEX('Shultis Faw'!$A$2:$A$26,MATCH($C748,'Shultis Faw'!$A$2:$A$26,1)+1)-INDEX('Shultis Faw'!$A$2:$A$26,MATCH($C748,'Shultis Faw'!$A$2:$A$26,1))),$C748*'Shultis Faw'!$C$2/'Shultis Faw'!$A$2)</f>
        <v>4.1788879999999997</v>
      </c>
      <c r="J748" s="83">
        <f>_xlfn.IFNA(INDEX('Shultis Faw'!$D$2:$D$26,MATCH($C748,'Shultis Faw'!$A$2:$A$26,1))+($C748-INDEX('Shultis Faw'!$A$2:$A$26,MATCH($C748,'Shultis Faw'!$A$2:$A$26,1)))*(INDEX('Shultis Faw'!$D$2:$D$26,MATCH($C748,'Shultis Faw'!$A$2:$A$26,1)+1)-INDEX('Shultis Faw'!$D$2:$D$26,MATCH($C748,'Shultis Faw'!$A$2:$A$26,1)))/(INDEX('Shultis Faw'!$A$2:$A$26,MATCH($C748,'Shultis Faw'!$A$2:$A$26,1)+1)-INDEX('Shultis Faw'!$A$2:$A$26,MATCH($C748,'Shultis Faw'!$A$2:$A$26,1))),$C748*'Shultis Faw'!$D$2/'Shultis Faw'!$A$2)</f>
        <v>2.2342719999999998</v>
      </c>
      <c r="K748" s="83">
        <f>_xlfn.IFNA(INDEX('Shultis Faw'!$B$2:$B$26,MATCH($C748,'Shultis Faw'!$A$2:$A$26,1))+($C748-INDEX('Shultis Faw'!$A$2:$A$26,MATCH($C748,'Shultis Faw'!$A$2:$A$26,1)))*(INDEX('Shultis Faw'!$B$2:$B$26,MATCH($C748,'Shultis Faw'!$A$2:$A$26,1)+1)-INDEX('Shultis Faw'!$B$2:$B$26,MATCH($C748,'Shultis Faw'!$A$2:$A$26,1)))/(INDEX('Shultis Faw'!$A$2:$A$26,MATCH($C748,'Shultis Faw'!$A$2:$A$26,1)+1)-INDEX('Shultis Faw'!$A$2:$A$26,MATCH($C748,'Shultis Faw'!$A$2:$A$26,1))),$C748*'Shultis Faw'!$B$2/'Shultis Faw'!$A$2)</f>
        <v>-0.185368</v>
      </c>
      <c r="L748" s="83">
        <f>_xlfn.IFNA(INDEX('Shultis Faw'!$E$2:$E$26,MATCH($C748,'Shultis Faw'!$A$2:$A$26,1))+($C748-INDEX('Shultis Faw'!$A$2:$A$26,MATCH($C748,'Shultis Faw'!$A$2:$A$26,1)))*(INDEX('Shultis Faw'!$E$2:$E$26,MATCH($C748,'Shultis Faw'!$A$2:$A$26,1)+1)-INDEX('Shultis Faw'!$E$2:$E$26,MATCH($C748,'Shultis Faw'!$A$2:$A$26,1)))/(INDEX('Shultis Faw'!$A$2:$A$26,MATCH($C748,'Shultis Faw'!$A$2:$A$26,1)+1)-INDEX('Shultis Faw'!$A$2:$A$26,MATCH($C748,'Shultis Faw'!$A$2:$A$26,1))),$C748*'Shultis Faw'!$E$2/'Shultis Faw'!$A$2)</f>
        <v>7.950320000000001E-2</v>
      </c>
      <c r="M748" s="83">
        <f>_xlfn.IFNA(INDEX('Shultis Faw'!$F$2:$F$26,MATCH($C748,'Shultis Faw'!$A$2:$A$26,1))+($C748-INDEX('Shultis Faw'!$A$2:$A$26,MATCH($C748,'Shultis Faw'!$A$2:$A$26,1)))*(INDEX('Shultis Faw'!$F$2:$F$26,MATCH($C748,'Shultis Faw'!$A$2:$A$26,1)+1)-INDEX('Shultis Faw'!$F$2:$F$26,MATCH($C748,'Shultis Faw'!$A$2:$A$26,1)))/(INDEX('Shultis Faw'!$A$2:$A$26,MATCH($C748,'Shultis Faw'!$A$2:$A$26,1)+1)-INDEX('Shultis Faw'!$A$2:$A$26,MATCH($C748,'Shultis Faw'!$A$2:$A$26,1))),$C748*'Shultis Faw'!$F$2/'Shultis Faw'!$A$2)</f>
        <v>13.873519999999999</v>
      </c>
      <c r="N748" s="83">
        <f>J748*(H748*'Externe blootstelling'!$D$23/2)^K748+L748*(TANH(((H748*'Externe blootstelling'!$D$23)/(2*M748))-2)-TANH(-2))/(1-TANH(-2))</f>
        <v>1.9057970485357714</v>
      </c>
      <c r="O748" s="83">
        <f>IF(N748=1,1+(I748-1)*H748*'Externe blootstelling'!$D$23/2,1+(I748-1)*(N748^(H748*'Externe blootstelling'!$D$23/2)-1)/(N748-1))</f>
        <v>13.587936574794766</v>
      </c>
      <c r="P748" s="67">
        <f>G748*EXP(-H748*'Externe blootstelling'!$D$23/2)*O748</f>
        <v>5.0919162561239472E-5</v>
      </c>
      <c r="Q748" s="68"/>
    </row>
    <row r="749" spans="1:17" x14ac:dyDescent="0.2">
      <c r="A749" s="220"/>
      <c r="B749" s="64" t="s">
        <v>104</v>
      </c>
      <c r="C749" s="66">
        <v>0.13830000000000001</v>
      </c>
      <c r="D749" s="66">
        <f t="shared" si="49"/>
        <v>2.2128E-14</v>
      </c>
      <c r="E749" s="66">
        <v>1.7E-5</v>
      </c>
      <c r="F749" s="66">
        <f>_xlfn.IFNA(INDEX('hp (pSv cm2)'!$B$2:$B$52,MATCH($C749,'hp (pSv cm2)'!$A$2:$A$52,1))+($C749-INDEX('hp (pSv cm2)'!$A$2:$A$52,MATCH($C749,'hp (pSv cm2)'!$A$2:$A$52,1)))*(INDEX('hp (pSv cm2)'!$B$2:$B$52,MATCH($C749,'hp (pSv cm2)'!$A$2:$A$52,1)+1)-INDEX('hp (pSv cm2)'!$B$2:$B$52,MATCH($C749,'hp (pSv cm2)'!$A$2:$A$52,1)))/(INDEX('hp (pSv cm2)'!$A$2:$A$52,MATCH($C749,'hp (pSv cm2)'!$A$2:$A$52,1)+1)-INDEX('hp (pSv cm2)'!$A$2:$A$52,MATCH($C749,'hp (pSv cm2)'!$A$2:$A$52,1))),$C749*'hp (pSv cm2)'!$B$2/'hp (pSv cm2)'!$A$2)</f>
        <v>0.69341399999999997</v>
      </c>
      <c r="G749" s="67">
        <f t="shared" si="50"/>
        <v>1.1788038E-5</v>
      </c>
      <c r="H749" s="83">
        <f>_xlfn.IFNA(0.997*(INDEX('Mass attenuation coefficients'!$B$2:$B$37,MATCH($C749,'Mass attenuation coefficients'!$A$2:$A$37,1))+($C749-INDEX('Mass attenuation coefficients'!$A$2:$A$37,MATCH($C749,'Mass attenuation coefficients'!$A$2:$A$37,1)))*(INDEX('Mass attenuation coefficients'!$B$2:$B$37,MATCH($C749,'Mass attenuation coefficients'!$A$2:$A$37,1)+1)-INDEX('Mass attenuation coefficients'!$B$2:$B$37,MATCH($C749,'Mass attenuation coefficients'!$A$2:$A$37,1)))/(INDEX('Mass attenuation coefficients'!$A$2:$A$37,MATCH($C749,'Mass attenuation coefficients'!$A$2:$A$37,1)+1)-INDEX('Mass attenuation coefficients'!$A$2:$A$37,MATCH($C749,'Mass attenuation coefficients'!$A$2:$A$37,1)))),0.997*$C749*'Mass attenuation coefficients'!$B$2/'Mass attenuation coefficients'!$A$2)</f>
        <v>0.1547611196</v>
      </c>
      <c r="I749" s="83">
        <f>_xlfn.IFNA(INDEX('Shultis Faw'!$C$2:$C$26,MATCH($C749,'Shultis Faw'!$A$2:$A$26,1))+($C749-INDEX('Shultis Faw'!$A$2:$A$26,MATCH($C749,'Shultis Faw'!$A$2:$A$26,1)))*(INDEX('Shultis Faw'!$C$2:$C$26,MATCH($C749,'Shultis Faw'!$A$2:$A$26,1)+1)-INDEX('Shultis Faw'!$C$2:$C$26,MATCH($C749,'Shultis Faw'!$A$2:$A$26,1)))/(INDEX('Shultis Faw'!$A$2:$A$26,MATCH($C749,'Shultis Faw'!$A$2:$A$26,1)+1)-INDEX('Shultis Faw'!$A$2:$A$26,MATCH($C749,'Shultis Faw'!$A$2:$A$26,1))),$C749*'Shultis Faw'!$C$2/'Shultis Faw'!$A$2)</f>
        <v>4.076244</v>
      </c>
      <c r="J749" s="83">
        <f>_xlfn.IFNA(INDEX('Shultis Faw'!$D$2:$D$26,MATCH($C749,'Shultis Faw'!$A$2:$A$26,1))+($C749-INDEX('Shultis Faw'!$A$2:$A$26,MATCH($C749,'Shultis Faw'!$A$2:$A$26,1)))*(INDEX('Shultis Faw'!$D$2:$D$26,MATCH($C749,'Shultis Faw'!$A$2:$A$26,1)+1)-INDEX('Shultis Faw'!$D$2:$D$26,MATCH($C749,'Shultis Faw'!$A$2:$A$26,1)))/(INDEX('Shultis Faw'!$A$2:$A$26,MATCH($C749,'Shultis Faw'!$A$2:$A$26,1)+1)-INDEX('Shultis Faw'!$A$2:$A$26,MATCH($C749,'Shultis Faw'!$A$2:$A$26,1))),$C749*'Shultis Faw'!$D$2/'Shultis Faw'!$A$2)</f>
        <v>2.2370860000000001</v>
      </c>
      <c r="K749" s="83">
        <f>_xlfn.IFNA(INDEX('Shultis Faw'!$B$2:$B$26,MATCH($C749,'Shultis Faw'!$A$2:$A$26,1))+($C749-INDEX('Shultis Faw'!$A$2:$A$26,MATCH($C749,'Shultis Faw'!$A$2:$A$26,1)))*(INDEX('Shultis Faw'!$B$2:$B$26,MATCH($C749,'Shultis Faw'!$A$2:$A$26,1)+1)-INDEX('Shultis Faw'!$B$2:$B$26,MATCH($C749,'Shultis Faw'!$A$2:$A$26,1)))/(INDEX('Shultis Faw'!$A$2:$A$26,MATCH($C749,'Shultis Faw'!$A$2:$A$26,1)+1)-INDEX('Shultis Faw'!$A$2:$A$26,MATCH($C749,'Shultis Faw'!$A$2:$A$26,1))),$C749*'Shultis Faw'!$B$2/'Shultis Faw'!$A$2)</f>
        <v>-0.18523400000000001</v>
      </c>
      <c r="L749" s="83">
        <f>_xlfn.IFNA(INDEX('Shultis Faw'!$E$2:$E$26,MATCH($C749,'Shultis Faw'!$A$2:$A$26,1))+($C749-INDEX('Shultis Faw'!$A$2:$A$26,MATCH($C749,'Shultis Faw'!$A$2:$A$26,1)))*(INDEX('Shultis Faw'!$E$2:$E$26,MATCH($C749,'Shultis Faw'!$A$2:$A$26,1)+1)-INDEX('Shultis Faw'!$E$2:$E$26,MATCH($C749,'Shultis Faw'!$A$2:$A$26,1)))/(INDEX('Shultis Faw'!$A$2:$A$26,MATCH($C749,'Shultis Faw'!$A$2:$A$26,1)+1)-INDEX('Shultis Faw'!$A$2:$A$26,MATCH($C749,'Shultis Faw'!$A$2:$A$26,1))),$C749*'Shultis Faw'!$E$2/'Shultis Faw'!$A$2)</f>
        <v>7.8846600000000003E-2</v>
      </c>
      <c r="M749" s="83">
        <f>_xlfn.IFNA(INDEX('Shultis Faw'!$F$2:$F$26,MATCH($C749,'Shultis Faw'!$A$2:$A$26,1))+($C749-INDEX('Shultis Faw'!$A$2:$A$26,MATCH($C749,'Shultis Faw'!$A$2:$A$26,1)))*(INDEX('Shultis Faw'!$F$2:$F$26,MATCH($C749,'Shultis Faw'!$A$2:$A$26,1)+1)-INDEX('Shultis Faw'!$F$2:$F$26,MATCH($C749,'Shultis Faw'!$A$2:$A$26,1)))/(INDEX('Shultis Faw'!$A$2:$A$26,MATCH($C749,'Shultis Faw'!$A$2:$A$26,1)+1)-INDEX('Shultis Faw'!$A$2:$A$26,MATCH($C749,'Shultis Faw'!$A$2:$A$26,1))),$C749*'Shultis Faw'!$F$2/'Shultis Faw'!$A$2)</f>
        <v>13.988759999999999</v>
      </c>
      <c r="N749" s="83">
        <f>J749*(H749*'Externe blootstelling'!$D$23/2)^K749+L749*(TANH(((H749*'Externe blootstelling'!$D$23)/(2*M749))-2)-TANH(-2))/(1-TANH(-2))</f>
        <v>1.914513873281988</v>
      </c>
      <c r="O749" s="83">
        <f>IF(N749=1,1+(I749-1)*H749*'Externe blootstelling'!$D$23/2,1+(I749-1)*(N749^(H749*'Externe blootstelling'!$D$23/2)-1)/(N749-1))</f>
        <v>12.827879577301092</v>
      </c>
      <c r="P749" s="67">
        <f>G749*EXP(-H749*'Externe blootstelling'!$D$23/2)*O749</f>
        <v>1.4839453171610785E-5</v>
      </c>
      <c r="Q749" s="68"/>
    </row>
    <row r="750" spans="1:17" x14ac:dyDescent="0.2">
      <c r="A750" s="220"/>
      <c r="B750" s="64" t="s">
        <v>104</v>
      </c>
      <c r="C750" s="66">
        <v>0.14427000000000001</v>
      </c>
      <c r="D750" s="66">
        <f t="shared" si="49"/>
        <v>2.3083199999999999E-14</v>
      </c>
      <c r="E750" s="66">
        <v>3.3599999999999998E-2</v>
      </c>
      <c r="F750" s="66">
        <f>_xlfn.IFNA(INDEX('hp (pSv cm2)'!$B$2:$B$52,MATCH($C750,'hp (pSv cm2)'!$A$2:$A$52,1))+($C750-INDEX('hp (pSv cm2)'!$A$2:$A$52,MATCH($C750,'hp (pSv cm2)'!$A$2:$A$52,1)))*(INDEX('hp (pSv cm2)'!$B$2:$B$52,MATCH($C750,'hp (pSv cm2)'!$A$2:$A$52,1)+1)-INDEX('hp (pSv cm2)'!$B$2:$B$52,MATCH($C750,'hp (pSv cm2)'!$A$2:$A$52,1)))/(INDEX('hp (pSv cm2)'!$A$2:$A$52,MATCH($C750,'hp (pSv cm2)'!$A$2:$A$52,1)+1)-INDEX('hp (pSv cm2)'!$A$2:$A$52,MATCH($C750,'hp (pSv cm2)'!$A$2:$A$52,1))),$C750*'hp (pSv cm2)'!$B$2/'hp (pSv cm2)'!$A$2)</f>
        <v>0.72075660000000008</v>
      </c>
      <c r="G750" s="67">
        <f t="shared" si="50"/>
        <v>2.421742176E-2</v>
      </c>
      <c r="H750" s="83">
        <f>_xlfn.IFNA(0.997*(INDEX('Mass attenuation coefficients'!$B$2:$B$37,MATCH($C750,'Mass attenuation coefficients'!$A$2:$A$37,1))+($C750-INDEX('Mass attenuation coefficients'!$A$2:$A$37,MATCH($C750,'Mass attenuation coefficients'!$A$2:$A$37,1)))*(INDEX('Mass attenuation coefficients'!$B$2:$B$37,MATCH($C750,'Mass attenuation coefficients'!$A$2:$A$37,1)+1)-INDEX('Mass attenuation coefficients'!$B$2:$B$37,MATCH($C750,'Mass attenuation coefficients'!$A$2:$A$37,1)))/(INDEX('Mass attenuation coefficients'!$A$2:$A$37,MATCH($C750,'Mass attenuation coefficients'!$A$2:$A$37,1)+1)-INDEX('Mass attenuation coefficients'!$A$2:$A$37,MATCH($C750,'Mass attenuation coefficients'!$A$2:$A$37,1)))),0.997*$C750*'Mass attenuation coefficients'!$B$2/'Mass attenuation coefficients'!$A$2)</f>
        <v>0.15235647523999998</v>
      </c>
      <c r="I750" s="83">
        <f>_xlfn.IFNA(INDEX('Shultis Faw'!$C$2:$C$26,MATCH($C750,'Shultis Faw'!$A$2:$A$26,1))+($C750-INDEX('Shultis Faw'!$A$2:$A$26,MATCH($C750,'Shultis Faw'!$A$2:$A$26,1)))*(INDEX('Shultis Faw'!$C$2:$C$26,MATCH($C750,'Shultis Faw'!$A$2:$A$26,1)+1)-INDEX('Shultis Faw'!$C$2:$C$26,MATCH($C750,'Shultis Faw'!$A$2:$A$26,1)))/(INDEX('Shultis Faw'!$A$2:$A$26,MATCH($C750,'Shultis Faw'!$A$2:$A$26,1)+1)-INDEX('Shultis Faw'!$A$2:$A$26,MATCH($C750,'Shultis Faw'!$A$2:$A$26,1))),$C750*'Shultis Faw'!$C$2/'Shultis Faw'!$A$2)</f>
        <v>3.9847835999999996</v>
      </c>
      <c r="J750" s="83">
        <f>_xlfn.IFNA(INDEX('Shultis Faw'!$D$2:$D$26,MATCH($C750,'Shultis Faw'!$A$2:$A$26,1))+($C750-INDEX('Shultis Faw'!$A$2:$A$26,MATCH($C750,'Shultis Faw'!$A$2:$A$26,1)))*(INDEX('Shultis Faw'!$D$2:$D$26,MATCH($C750,'Shultis Faw'!$A$2:$A$26,1)+1)-INDEX('Shultis Faw'!$D$2:$D$26,MATCH($C750,'Shultis Faw'!$A$2:$A$26,1)))/(INDEX('Shultis Faw'!$A$2:$A$26,MATCH($C750,'Shultis Faw'!$A$2:$A$26,1)+1)-INDEX('Shultis Faw'!$A$2:$A$26,MATCH($C750,'Shultis Faw'!$A$2:$A$26,1))),$C750*'Shultis Faw'!$D$2/'Shultis Faw'!$A$2)</f>
        <v>2.2395934</v>
      </c>
      <c r="K750" s="83">
        <f>_xlfn.IFNA(INDEX('Shultis Faw'!$B$2:$B$26,MATCH($C750,'Shultis Faw'!$A$2:$A$26,1))+($C750-INDEX('Shultis Faw'!$A$2:$A$26,MATCH($C750,'Shultis Faw'!$A$2:$A$26,1)))*(INDEX('Shultis Faw'!$B$2:$B$26,MATCH($C750,'Shultis Faw'!$A$2:$A$26,1)+1)-INDEX('Shultis Faw'!$B$2:$B$26,MATCH($C750,'Shultis Faw'!$A$2:$A$26,1)))/(INDEX('Shultis Faw'!$A$2:$A$26,MATCH($C750,'Shultis Faw'!$A$2:$A$26,1)+1)-INDEX('Shultis Faw'!$A$2:$A$26,MATCH($C750,'Shultis Faw'!$A$2:$A$26,1))),$C750*'Shultis Faw'!$B$2/'Shultis Faw'!$A$2)</f>
        <v>-0.18511459999999999</v>
      </c>
      <c r="L750" s="83">
        <f>_xlfn.IFNA(INDEX('Shultis Faw'!$E$2:$E$26,MATCH($C750,'Shultis Faw'!$A$2:$A$26,1))+($C750-INDEX('Shultis Faw'!$A$2:$A$26,MATCH($C750,'Shultis Faw'!$A$2:$A$26,1)))*(INDEX('Shultis Faw'!$E$2:$E$26,MATCH($C750,'Shultis Faw'!$A$2:$A$26,1)+1)-INDEX('Shultis Faw'!$E$2:$E$26,MATCH($C750,'Shultis Faw'!$A$2:$A$26,1)))/(INDEX('Shultis Faw'!$A$2:$A$26,MATCH($C750,'Shultis Faw'!$A$2:$A$26,1)+1)-INDEX('Shultis Faw'!$A$2:$A$26,MATCH($C750,'Shultis Faw'!$A$2:$A$26,1))),$C750*'Shultis Faw'!$E$2/'Shultis Faw'!$A$2)</f>
        <v>7.8261540000000004E-2</v>
      </c>
      <c r="M750" s="83">
        <f>_xlfn.IFNA(INDEX('Shultis Faw'!$F$2:$F$26,MATCH($C750,'Shultis Faw'!$A$2:$A$26,1))+($C750-INDEX('Shultis Faw'!$A$2:$A$26,MATCH($C750,'Shultis Faw'!$A$2:$A$26,1)))*(INDEX('Shultis Faw'!$F$2:$F$26,MATCH($C750,'Shultis Faw'!$A$2:$A$26,1)+1)-INDEX('Shultis Faw'!$F$2:$F$26,MATCH($C750,'Shultis Faw'!$A$2:$A$26,1)))/(INDEX('Shultis Faw'!$A$2:$A$26,MATCH($C750,'Shultis Faw'!$A$2:$A$26,1)+1)-INDEX('Shultis Faw'!$A$2:$A$26,MATCH($C750,'Shultis Faw'!$A$2:$A$26,1))),$C750*'Shultis Faw'!$F$2/'Shultis Faw'!$A$2)</f>
        <v>14.091443999999999</v>
      </c>
      <c r="N750" s="83">
        <f>J750*(H750*'Externe blootstelling'!$D$23/2)^K750+L750*(TANH(((H750*'Externe blootstelling'!$D$23)/(2*M750))-2)-TANH(-2))/(1-TANH(-2))</f>
        <v>1.9223962654305955</v>
      </c>
      <c r="O750" s="83">
        <f>IF(N750=1,1+(I750-1)*H750*'Externe blootstelling'!$D$23/2,1+(I750-1)*(N750^(H750*'Externe blootstelling'!$D$23/2)-1)/(N750-1))</f>
        <v>12.17446073892668</v>
      </c>
      <c r="P750" s="67">
        <f>G750*EXP(-H750*'Externe blootstelling'!$D$23/2)*O750</f>
        <v>2.9996044665563441E-2</v>
      </c>
      <c r="Q750" s="68"/>
    </row>
    <row r="751" spans="1:17" x14ac:dyDescent="0.2">
      <c r="A751" s="220"/>
      <c r="B751" s="64" t="s">
        <v>104</v>
      </c>
      <c r="C751" s="66">
        <v>0.1472</v>
      </c>
      <c r="D751" s="66">
        <f t="shared" si="49"/>
        <v>2.3551999999999998E-14</v>
      </c>
      <c r="E751" s="66">
        <v>6.0000000000000002E-5</v>
      </c>
      <c r="F751" s="66">
        <f>_xlfn.IFNA(INDEX('hp (pSv cm2)'!$B$2:$B$52,MATCH($C751,'hp (pSv cm2)'!$A$2:$A$52,1))+($C751-INDEX('hp (pSv cm2)'!$A$2:$A$52,MATCH($C751,'hp (pSv cm2)'!$A$2:$A$52,1)))*(INDEX('hp (pSv cm2)'!$B$2:$B$52,MATCH($C751,'hp (pSv cm2)'!$A$2:$A$52,1)+1)-INDEX('hp (pSv cm2)'!$B$2:$B$52,MATCH($C751,'hp (pSv cm2)'!$A$2:$A$52,1)))/(INDEX('hp (pSv cm2)'!$A$2:$A$52,MATCH($C751,'hp (pSv cm2)'!$A$2:$A$52,1)+1)-INDEX('hp (pSv cm2)'!$A$2:$A$52,MATCH($C751,'hp (pSv cm2)'!$A$2:$A$52,1))),$C751*'hp (pSv cm2)'!$B$2/'hp (pSv cm2)'!$A$2)</f>
        <v>0.73417599999999994</v>
      </c>
      <c r="G751" s="67">
        <f t="shared" si="50"/>
        <v>4.4050559999999999E-5</v>
      </c>
      <c r="H751" s="83">
        <f>_xlfn.IFNA(0.997*(INDEX('Mass attenuation coefficients'!$B$2:$B$37,MATCH($C751,'Mass attenuation coefficients'!$A$2:$A$37,1))+($C751-INDEX('Mass attenuation coefficients'!$A$2:$A$37,MATCH($C751,'Mass attenuation coefficients'!$A$2:$A$37,1)))*(INDEX('Mass attenuation coefficients'!$B$2:$B$37,MATCH($C751,'Mass attenuation coefficients'!$A$2:$A$37,1)+1)-INDEX('Mass attenuation coefficients'!$B$2:$B$37,MATCH($C751,'Mass attenuation coefficients'!$A$2:$A$37,1)))/(INDEX('Mass attenuation coefficients'!$A$2:$A$37,MATCH($C751,'Mass attenuation coefficients'!$A$2:$A$37,1)+1)-INDEX('Mass attenuation coefficients'!$A$2:$A$37,MATCH($C751,'Mass attenuation coefficients'!$A$2:$A$37,1)))),0.997*$C751*'Mass attenuation coefficients'!$B$2/'Mass attenuation coefficients'!$A$2)</f>
        <v>0.15117630639999999</v>
      </c>
      <c r="I751" s="83">
        <f>_xlfn.IFNA(INDEX('Shultis Faw'!$C$2:$C$26,MATCH($C751,'Shultis Faw'!$A$2:$A$26,1))+($C751-INDEX('Shultis Faw'!$A$2:$A$26,MATCH($C751,'Shultis Faw'!$A$2:$A$26,1)))*(INDEX('Shultis Faw'!$C$2:$C$26,MATCH($C751,'Shultis Faw'!$A$2:$A$26,1)+1)-INDEX('Shultis Faw'!$C$2:$C$26,MATCH($C751,'Shultis Faw'!$A$2:$A$26,1)))/(INDEX('Shultis Faw'!$A$2:$A$26,MATCH($C751,'Shultis Faw'!$A$2:$A$26,1)+1)-INDEX('Shultis Faw'!$A$2:$A$26,MATCH($C751,'Shultis Faw'!$A$2:$A$26,1))),$C751*'Shultis Faw'!$C$2/'Shultis Faw'!$A$2)</f>
        <v>3.9398960000000001</v>
      </c>
      <c r="J751" s="83">
        <f>_xlfn.IFNA(INDEX('Shultis Faw'!$D$2:$D$26,MATCH($C751,'Shultis Faw'!$A$2:$A$26,1))+($C751-INDEX('Shultis Faw'!$A$2:$A$26,MATCH($C751,'Shultis Faw'!$A$2:$A$26,1)))*(INDEX('Shultis Faw'!$D$2:$D$26,MATCH($C751,'Shultis Faw'!$A$2:$A$26,1)+1)-INDEX('Shultis Faw'!$D$2:$D$26,MATCH($C751,'Shultis Faw'!$A$2:$A$26,1)))/(INDEX('Shultis Faw'!$A$2:$A$26,MATCH($C751,'Shultis Faw'!$A$2:$A$26,1)+1)-INDEX('Shultis Faw'!$A$2:$A$26,MATCH($C751,'Shultis Faw'!$A$2:$A$26,1))),$C751*'Shultis Faw'!$D$2/'Shultis Faw'!$A$2)</f>
        <v>2.2408239999999999</v>
      </c>
      <c r="K751" s="83">
        <f>_xlfn.IFNA(INDEX('Shultis Faw'!$B$2:$B$26,MATCH($C751,'Shultis Faw'!$A$2:$A$26,1))+($C751-INDEX('Shultis Faw'!$A$2:$A$26,MATCH($C751,'Shultis Faw'!$A$2:$A$26,1)))*(INDEX('Shultis Faw'!$B$2:$B$26,MATCH($C751,'Shultis Faw'!$A$2:$A$26,1)+1)-INDEX('Shultis Faw'!$B$2:$B$26,MATCH($C751,'Shultis Faw'!$A$2:$A$26,1)))/(INDEX('Shultis Faw'!$A$2:$A$26,MATCH($C751,'Shultis Faw'!$A$2:$A$26,1)+1)-INDEX('Shultis Faw'!$A$2:$A$26,MATCH($C751,'Shultis Faw'!$A$2:$A$26,1))),$C751*'Shultis Faw'!$B$2/'Shultis Faw'!$A$2)</f>
        <v>-0.185056</v>
      </c>
      <c r="L751" s="83">
        <f>_xlfn.IFNA(INDEX('Shultis Faw'!$E$2:$E$26,MATCH($C751,'Shultis Faw'!$A$2:$A$26,1))+($C751-INDEX('Shultis Faw'!$A$2:$A$26,MATCH($C751,'Shultis Faw'!$A$2:$A$26,1)))*(INDEX('Shultis Faw'!$E$2:$E$26,MATCH($C751,'Shultis Faw'!$A$2:$A$26,1)+1)-INDEX('Shultis Faw'!$E$2:$E$26,MATCH($C751,'Shultis Faw'!$A$2:$A$26,1)))/(INDEX('Shultis Faw'!$A$2:$A$26,MATCH($C751,'Shultis Faw'!$A$2:$A$26,1)+1)-INDEX('Shultis Faw'!$A$2:$A$26,MATCH($C751,'Shultis Faw'!$A$2:$A$26,1))),$C751*'Shultis Faw'!$E$2/'Shultis Faw'!$A$2)</f>
        <v>7.7974399999999999E-2</v>
      </c>
      <c r="M751" s="83">
        <f>_xlfn.IFNA(INDEX('Shultis Faw'!$F$2:$F$26,MATCH($C751,'Shultis Faw'!$A$2:$A$26,1))+($C751-INDEX('Shultis Faw'!$A$2:$A$26,MATCH($C751,'Shultis Faw'!$A$2:$A$26,1)))*(INDEX('Shultis Faw'!$F$2:$F$26,MATCH($C751,'Shultis Faw'!$A$2:$A$26,1)+1)-INDEX('Shultis Faw'!$F$2:$F$26,MATCH($C751,'Shultis Faw'!$A$2:$A$26,1)))/(INDEX('Shultis Faw'!$A$2:$A$26,MATCH($C751,'Shultis Faw'!$A$2:$A$26,1)+1)-INDEX('Shultis Faw'!$A$2:$A$26,MATCH($C751,'Shultis Faw'!$A$2:$A$26,1))),$C751*'Shultis Faw'!$F$2/'Shultis Faw'!$A$2)</f>
        <v>14.14184</v>
      </c>
      <c r="N751" s="83">
        <f>J751*(H751*'Externe blootstelling'!$D$23/2)^K751+L751*(TANH(((H751*'Externe blootstelling'!$D$23)/(2*M751))-2)-TANH(-2))/(1-TANH(-2))</f>
        <v>1.9263057477688383</v>
      </c>
      <c r="O751" s="83">
        <f>IF(N751=1,1+(I751-1)*H751*'Externe blootstelling'!$D$23/2,1+(I751-1)*(N751^(H751*'Externe blootstelling'!$D$23/2)-1)/(N751-1))</f>
        <v>11.861886407241425</v>
      </c>
      <c r="P751" s="67">
        <f>G751*EXP(-H751*'Externe blootstelling'!$D$23/2)*O751</f>
        <v>5.4110264850395672E-5</v>
      </c>
      <c r="Q751" s="68"/>
    </row>
    <row r="752" spans="1:17" x14ac:dyDescent="0.2">
      <c r="A752" s="220"/>
      <c r="B752" s="64" t="s">
        <v>104</v>
      </c>
      <c r="C752" s="66">
        <v>0.15420800000000001</v>
      </c>
      <c r="D752" s="66">
        <f t="shared" si="49"/>
        <v>2.467328E-14</v>
      </c>
      <c r="E752" s="66">
        <v>5.8400000000000001E-2</v>
      </c>
      <c r="F752" s="66">
        <f>_xlfn.IFNA(INDEX('hp (pSv cm2)'!$B$2:$B$52,MATCH($C752,'hp (pSv cm2)'!$A$2:$A$52,1))+($C752-INDEX('hp (pSv cm2)'!$A$2:$A$52,MATCH($C752,'hp (pSv cm2)'!$A$2:$A$52,1)))*(INDEX('hp (pSv cm2)'!$B$2:$B$52,MATCH($C752,'hp (pSv cm2)'!$A$2:$A$52,1)+1)-INDEX('hp (pSv cm2)'!$B$2:$B$52,MATCH($C752,'hp (pSv cm2)'!$A$2:$A$52,1)))/(INDEX('hp (pSv cm2)'!$A$2:$A$52,MATCH($C752,'hp (pSv cm2)'!$A$2:$A$52,1)+1)-INDEX('hp (pSv cm2)'!$A$2:$A$52,MATCH($C752,'hp (pSv cm2)'!$A$2:$A$52,1))),$C752*'hp (pSv cm2)'!$B$2/'hp (pSv cm2)'!$A$2)</f>
        <v>0.76829248000000006</v>
      </c>
      <c r="G752" s="67">
        <f t="shared" si="50"/>
        <v>4.4868280832000007E-2</v>
      </c>
      <c r="H752" s="83">
        <f>_xlfn.IFNA(0.997*(INDEX('Mass attenuation coefficients'!$B$2:$B$37,MATCH($C752,'Mass attenuation coefficients'!$A$2:$A$37,1))+($C752-INDEX('Mass attenuation coefficients'!$A$2:$A$37,MATCH($C752,'Mass attenuation coefficients'!$A$2:$A$37,1)))*(INDEX('Mass attenuation coefficients'!$B$2:$B$37,MATCH($C752,'Mass attenuation coefficients'!$A$2:$A$37,1)+1)-INDEX('Mass attenuation coefficients'!$B$2:$B$37,MATCH($C752,'Mass attenuation coefficients'!$A$2:$A$37,1)))/(INDEX('Mass attenuation coefficients'!$A$2:$A$37,MATCH($C752,'Mass attenuation coefficients'!$A$2:$A$37,1)+1)-INDEX('Mass attenuation coefficients'!$A$2:$A$37,MATCH($C752,'Mass attenuation coefficients'!$A$2:$A$37,1)))),0.997*$C752*'Mass attenuation coefficients'!$B$2/'Mass attenuation coefficients'!$A$2)</f>
        <v>0.14891574848</v>
      </c>
      <c r="I752" s="83">
        <f>_xlfn.IFNA(INDEX('Shultis Faw'!$C$2:$C$26,MATCH($C752,'Shultis Faw'!$A$2:$A$26,1))+($C752-INDEX('Shultis Faw'!$A$2:$A$26,MATCH($C752,'Shultis Faw'!$A$2:$A$26,1)))*(INDEX('Shultis Faw'!$C$2:$C$26,MATCH($C752,'Shultis Faw'!$A$2:$A$26,1)+1)-INDEX('Shultis Faw'!$C$2:$C$26,MATCH($C752,'Shultis Faw'!$A$2:$A$26,1)))/(INDEX('Shultis Faw'!$A$2:$A$26,MATCH($C752,'Shultis Faw'!$A$2:$A$26,1)+1)-INDEX('Shultis Faw'!$A$2:$A$26,MATCH($C752,'Shultis Faw'!$A$2:$A$26,1))),$C752*'Shultis Faw'!$C$2/'Shultis Faw'!$A$2)</f>
        <v>3.8617369599999996</v>
      </c>
      <c r="J752" s="83">
        <f>_xlfn.IFNA(INDEX('Shultis Faw'!$D$2:$D$26,MATCH($C752,'Shultis Faw'!$A$2:$A$26,1))+($C752-INDEX('Shultis Faw'!$A$2:$A$26,MATCH($C752,'Shultis Faw'!$A$2:$A$26,1)))*(INDEX('Shultis Faw'!$D$2:$D$26,MATCH($C752,'Shultis Faw'!$A$2:$A$26,1)+1)-INDEX('Shultis Faw'!$D$2:$D$26,MATCH($C752,'Shultis Faw'!$A$2:$A$26,1)))/(INDEX('Shultis Faw'!$A$2:$A$26,MATCH($C752,'Shultis Faw'!$A$2:$A$26,1)+1)-INDEX('Shultis Faw'!$A$2:$A$26,MATCH($C752,'Shultis Faw'!$A$2:$A$26,1))),$C752*'Shultis Faw'!$D$2/'Shultis Faw'!$A$2)</f>
        <v>2.23459392</v>
      </c>
      <c r="K752" s="83">
        <f>_xlfn.IFNA(INDEX('Shultis Faw'!$B$2:$B$26,MATCH($C752,'Shultis Faw'!$A$2:$A$26,1))+($C752-INDEX('Shultis Faw'!$A$2:$A$26,MATCH($C752,'Shultis Faw'!$A$2:$A$26,1)))*(INDEX('Shultis Faw'!$B$2:$B$26,MATCH($C752,'Shultis Faw'!$A$2:$A$26,1)+1)-INDEX('Shultis Faw'!$B$2:$B$26,MATCH($C752,'Shultis Faw'!$A$2:$A$26,1)))/(INDEX('Shultis Faw'!$A$2:$A$26,MATCH($C752,'Shultis Faw'!$A$2:$A$26,1)+1)-INDEX('Shultis Faw'!$A$2:$A$26,MATCH($C752,'Shultis Faw'!$A$2:$A$26,1))),$C752*'Shultis Faw'!$B$2/'Shultis Faw'!$A$2)</f>
        <v>-0.18424256</v>
      </c>
      <c r="L752" s="83">
        <f>_xlfn.IFNA(INDEX('Shultis Faw'!$E$2:$E$26,MATCH($C752,'Shultis Faw'!$A$2:$A$26,1))+($C752-INDEX('Shultis Faw'!$A$2:$A$26,MATCH($C752,'Shultis Faw'!$A$2:$A$26,1)))*(INDEX('Shultis Faw'!$E$2:$E$26,MATCH($C752,'Shultis Faw'!$A$2:$A$26,1)+1)-INDEX('Shultis Faw'!$E$2:$E$26,MATCH($C752,'Shultis Faw'!$A$2:$A$26,1)))/(INDEX('Shultis Faw'!$A$2:$A$26,MATCH($C752,'Shultis Faw'!$A$2:$A$26,1)+1)-INDEX('Shultis Faw'!$A$2:$A$26,MATCH($C752,'Shultis Faw'!$A$2:$A$26,1))),$C752*'Shultis Faw'!$E$2/'Shultis Faw'!$A$2)</f>
        <v>7.7674752E-2</v>
      </c>
      <c r="M752" s="83">
        <f>_xlfn.IFNA(INDEX('Shultis Faw'!$F$2:$F$26,MATCH($C752,'Shultis Faw'!$A$2:$A$26,1))+($C752-INDEX('Shultis Faw'!$A$2:$A$26,MATCH($C752,'Shultis Faw'!$A$2:$A$26,1)))*(INDEX('Shultis Faw'!$F$2:$F$26,MATCH($C752,'Shultis Faw'!$A$2:$A$26,1)+1)-INDEX('Shultis Faw'!$F$2:$F$26,MATCH($C752,'Shultis Faw'!$A$2:$A$26,1)))/(INDEX('Shultis Faw'!$A$2:$A$26,MATCH($C752,'Shultis Faw'!$A$2:$A$26,1)+1)-INDEX('Shultis Faw'!$A$2:$A$26,MATCH($C752,'Shultis Faw'!$A$2:$A$26,1))),$C752*'Shultis Faw'!$F$2/'Shultis Faw'!$A$2)</f>
        <v>14.2160896</v>
      </c>
      <c r="N752" s="83">
        <f>J752*(H752*'Externe blootstelling'!$D$23/2)^K752+L752*(TANH(((H752*'Externe blootstelling'!$D$23)/(2*M752))-2)-TANH(-2))/(1-TANH(-2))</f>
        <v>1.9275584615477304</v>
      </c>
      <c r="O752" s="83">
        <f>IF(N752=1,1+(I752-1)*H752*'Externe blootstelling'!$D$23/2,1+(I752-1)*(N752^(H752*'Externe blootstelling'!$D$23/2)-1)/(N752-1))</f>
        <v>11.278261076041325</v>
      </c>
      <c r="P752" s="67">
        <f>G752*EXP(-H752*'Externe blootstelling'!$D$23/2)*O752</f>
        <v>5.4210355544109606E-2</v>
      </c>
      <c r="Q752" s="68"/>
    </row>
    <row r="753" spans="1:17" x14ac:dyDescent="0.2">
      <c r="A753" s="220"/>
      <c r="B753" s="64" t="s">
        <v>104</v>
      </c>
      <c r="C753" s="66">
        <v>0.158635</v>
      </c>
      <c r="D753" s="66">
        <f t="shared" si="49"/>
        <v>2.5381599999999997E-14</v>
      </c>
      <c r="E753" s="66">
        <v>7.1300000000000001E-3</v>
      </c>
      <c r="F753" s="66">
        <f>_xlfn.IFNA(INDEX('hp (pSv cm2)'!$B$2:$B$52,MATCH($C753,'hp (pSv cm2)'!$A$2:$A$52,1))+($C753-INDEX('hp (pSv cm2)'!$A$2:$A$52,MATCH($C753,'hp (pSv cm2)'!$A$2:$A$52,1)))*(INDEX('hp (pSv cm2)'!$B$2:$B$52,MATCH($C753,'hp (pSv cm2)'!$A$2:$A$52,1)+1)-INDEX('hp (pSv cm2)'!$B$2:$B$52,MATCH($C753,'hp (pSv cm2)'!$A$2:$A$52,1)))/(INDEX('hp (pSv cm2)'!$A$2:$A$52,MATCH($C753,'hp (pSv cm2)'!$A$2:$A$52,1)+1)-INDEX('hp (pSv cm2)'!$A$2:$A$52,MATCH($C753,'hp (pSv cm2)'!$A$2:$A$52,1))),$C753*'hp (pSv cm2)'!$B$2/'hp (pSv cm2)'!$A$2)</f>
        <v>0.79069310000000004</v>
      </c>
      <c r="G753" s="67">
        <f t="shared" si="50"/>
        <v>5.6376418030000004E-3</v>
      </c>
      <c r="H753" s="83">
        <f>_xlfn.IFNA(0.997*(INDEX('Mass attenuation coefficients'!$B$2:$B$37,MATCH($C753,'Mass attenuation coefficients'!$A$2:$A$37,1))+($C753-INDEX('Mass attenuation coefficients'!$A$2:$A$37,MATCH($C753,'Mass attenuation coefficients'!$A$2:$A$37,1)))*(INDEX('Mass attenuation coefficients'!$B$2:$B$37,MATCH($C753,'Mass attenuation coefficients'!$A$2:$A$37,1)+1)-INDEX('Mass attenuation coefficients'!$B$2:$B$37,MATCH($C753,'Mass attenuation coefficients'!$A$2:$A$37,1)))/(INDEX('Mass attenuation coefficients'!$A$2:$A$37,MATCH($C753,'Mass attenuation coefficients'!$A$2:$A$37,1)+1)-INDEX('Mass attenuation coefficients'!$A$2:$A$37,MATCH($C753,'Mass attenuation coefficients'!$A$2:$A$37,1)))),0.997*$C753*'Mass attenuation coefficients'!$B$2/'Mass attenuation coefficients'!$A$2)</f>
        <v>0.14772404435</v>
      </c>
      <c r="I753" s="83">
        <f>_xlfn.IFNA(INDEX('Shultis Faw'!$C$2:$C$26,MATCH($C753,'Shultis Faw'!$A$2:$A$26,1))+($C753-INDEX('Shultis Faw'!$A$2:$A$26,MATCH($C753,'Shultis Faw'!$A$2:$A$26,1)))*(INDEX('Shultis Faw'!$C$2:$C$26,MATCH($C753,'Shultis Faw'!$A$2:$A$26,1)+1)-INDEX('Shultis Faw'!$C$2:$C$26,MATCH($C753,'Shultis Faw'!$A$2:$A$26,1)))/(INDEX('Shultis Faw'!$A$2:$A$26,MATCH($C753,'Shultis Faw'!$A$2:$A$26,1)+1)-INDEX('Shultis Faw'!$A$2:$A$26,MATCH($C753,'Shultis Faw'!$A$2:$A$26,1))),$C753*'Shultis Faw'!$C$2/'Shultis Faw'!$A$2)</f>
        <v>3.8246386999999999</v>
      </c>
      <c r="J753" s="83">
        <f>_xlfn.IFNA(INDEX('Shultis Faw'!$D$2:$D$26,MATCH($C753,'Shultis Faw'!$A$2:$A$26,1))+($C753-INDEX('Shultis Faw'!$A$2:$A$26,MATCH($C753,'Shultis Faw'!$A$2:$A$26,1)))*(INDEX('Shultis Faw'!$D$2:$D$26,MATCH($C753,'Shultis Faw'!$A$2:$A$26,1)+1)-INDEX('Shultis Faw'!$D$2:$D$26,MATCH($C753,'Shultis Faw'!$A$2:$A$26,1)))/(INDEX('Shultis Faw'!$A$2:$A$26,MATCH($C753,'Shultis Faw'!$A$2:$A$26,1)+1)-INDEX('Shultis Faw'!$A$2:$A$26,MATCH($C753,'Shultis Faw'!$A$2:$A$26,1))),$C753*'Shultis Faw'!$D$2/'Shultis Faw'!$A$2)</f>
        <v>2.2268024</v>
      </c>
      <c r="K753" s="83">
        <f>_xlfn.IFNA(INDEX('Shultis Faw'!$B$2:$B$26,MATCH($C753,'Shultis Faw'!$A$2:$A$26,1))+($C753-INDEX('Shultis Faw'!$A$2:$A$26,MATCH($C753,'Shultis Faw'!$A$2:$A$26,1)))*(INDEX('Shultis Faw'!$B$2:$B$26,MATCH($C753,'Shultis Faw'!$A$2:$A$26,1)+1)-INDEX('Shultis Faw'!$B$2:$B$26,MATCH($C753,'Shultis Faw'!$A$2:$A$26,1)))/(INDEX('Shultis Faw'!$A$2:$A$26,MATCH($C753,'Shultis Faw'!$A$2:$A$26,1)+1)-INDEX('Shultis Faw'!$A$2:$A$26,MATCH($C753,'Shultis Faw'!$A$2:$A$26,1))),$C753*'Shultis Faw'!$B$2/'Shultis Faw'!$A$2)</f>
        <v>-0.18344569999999999</v>
      </c>
      <c r="L753" s="83">
        <f>_xlfn.IFNA(INDEX('Shultis Faw'!$E$2:$E$26,MATCH($C753,'Shultis Faw'!$A$2:$A$26,1))+($C753-INDEX('Shultis Faw'!$A$2:$A$26,MATCH($C753,'Shultis Faw'!$A$2:$A$26,1)))*(INDEX('Shultis Faw'!$E$2:$E$26,MATCH($C753,'Shultis Faw'!$A$2:$A$26,1)+1)-INDEX('Shultis Faw'!$E$2:$E$26,MATCH($C753,'Shultis Faw'!$A$2:$A$26,1)))/(INDEX('Shultis Faw'!$A$2:$A$26,MATCH($C753,'Shultis Faw'!$A$2:$A$26,1)+1)-INDEX('Shultis Faw'!$A$2:$A$26,MATCH($C753,'Shultis Faw'!$A$2:$A$26,1))),$C753*'Shultis Faw'!$E$2/'Shultis Faw'!$A$2)</f>
        <v>7.7648190000000006E-2</v>
      </c>
      <c r="M753" s="83">
        <f>_xlfn.IFNA(INDEX('Shultis Faw'!$F$2:$F$26,MATCH($C753,'Shultis Faw'!$A$2:$A$26,1))+($C753-INDEX('Shultis Faw'!$A$2:$A$26,MATCH($C753,'Shultis Faw'!$A$2:$A$26,1)))*(INDEX('Shultis Faw'!$F$2:$F$26,MATCH($C753,'Shultis Faw'!$A$2:$A$26,1)+1)-INDEX('Shultis Faw'!$F$2:$F$26,MATCH($C753,'Shultis Faw'!$A$2:$A$26,1)))/(INDEX('Shultis Faw'!$A$2:$A$26,MATCH($C753,'Shultis Faw'!$A$2:$A$26,1)+1)-INDEX('Shultis Faw'!$A$2:$A$26,MATCH($C753,'Shultis Faw'!$A$2:$A$26,1))),$C753*'Shultis Faw'!$F$2/'Shultis Faw'!$A$2)</f>
        <v>14.243537</v>
      </c>
      <c r="N753" s="83">
        <f>J753*(H753*'Externe blootstelling'!$D$23/2)^K753+L753*(TANH(((H753*'Externe blootstelling'!$D$23)/(2*M753))-2)-TANH(-2))/(1-TANH(-2))</f>
        <v>1.9248977910321543</v>
      </c>
      <c r="O753" s="83">
        <f>IF(N753=1,1+(I753-1)*H753*'Externe blootstelling'!$D$23/2,1+(I753-1)*(N753^(H753*'Externe blootstelling'!$D$23/2)-1)/(N753-1))</f>
        <v>10.979975800166521</v>
      </c>
      <c r="P753" s="67">
        <f>G753*EXP(-H753*'Externe blootstelling'!$D$23/2)*O753</f>
        <v>6.7509175222882486E-3</v>
      </c>
      <c r="Q753" s="68"/>
    </row>
    <row r="754" spans="1:17" x14ac:dyDescent="0.2">
      <c r="A754" s="220"/>
      <c r="B754" s="64" t="s">
        <v>104</v>
      </c>
      <c r="C754" s="66">
        <v>0.1658</v>
      </c>
      <c r="D754" s="66">
        <f t="shared" si="49"/>
        <v>2.6527999999999999E-14</v>
      </c>
      <c r="E754" s="66">
        <v>5.4000000000000005E-5</v>
      </c>
      <c r="F754" s="66">
        <f>_xlfn.IFNA(INDEX('hp (pSv cm2)'!$B$2:$B$52,MATCH($C754,'hp (pSv cm2)'!$A$2:$A$52,1))+($C754-INDEX('hp (pSv cm2)'!$A$2:$A$52,MATCH($C754,'hp (pSv cm2)'!$A$2:$A$52,1)))*(INDEX('hp (pSv cm2)'!$B$2:$B$52,MATCH($C754,'hp (pSv cm2)'!$A$2:$A$52,1)+1)-INDEX('hp (pSv cm2)'!$B$2:$B$52,MATCH($C754,'hp (pSv cm2)'!$A$2:$A$52,1)))/(INDEX('hp (pSv cm2)'!$A$2:$A$52,MATCH($C754,'hp (pSv cm2)'!$A$2:$A$52,1)+1)-INDEX('hp (pSv cm2)'!$A$2:$A$52,MATCH($C754,'hp (pSv cm2)'!$A$2:$A$52,1))),$C754*'hp (pSv cm2)'!$B$2/'hp (pSv cm2)'!$A$2)</f>
        <v>0.82694800000000002</v>
      </c>
      <c r="G754" s="67">
        <f t="shared" si="50"/>
        <v>4.4655192000000004E-5</v>
      </c>
      <c r="H754" s="83">
        <f>_xlfn.IFNA(0.997*(INDEX('Mass attenuation coefficients'!$B$2:$B$37,MATCH($C754,'Mass attenuation coefficients'!$A$2:$A$37,1))+($C754-INDEX('Mass attenuation coefficients'!$A$2:$A$37,MATCH($C754,'Mass attenuation coefficients'!$A$2:$A$37,1)))*(INDEX('Mass attenuation coefficients'!$B$2:$B$37,MATCH($C754,'Mass attenuation coefficients'!$A$2:$A$37,1)+1)-INDEX('Mass attenuation coefficients'!$B$2:$B$37,MATCH($C754,'Mass attenuation coefficients'!$A$2:$A$37,1)))/(INDEX('Mass attenuation coefficients'!$A$2:$A$37,MATCH($C754,'Mass attenuation coefficients'!$A$2:$A$37,1)+1)-INDEX('Mass attenuation coefficients'!$A$2:$A$37,MATCH($C754,'Mass attenuation coefficients'!$A$2:$A$37,1)))),0.997*$C754*'Mass attenuation coefficients'!$B$2/'Mass attenuation coefficients'!$A$2)</f>
        <v>0.14579529799999999</v>
      </c>
      <c r="I754" s="83">
        <f>_xlfn.IFNA(INDEX('Shultis Faw'!$C$2:$C$26,MATCH($C754,'Shultis Faw'!$A$2:$A$26,1))+($C754-INDEX('Shultis Faw'!$A$2:$A$26,MATCH($C754,'Shultis Faw'!$A$2:$A$26,1)))*(INDEX('Shultis Faw'!$C$2:$C$26,MATCH($C754,'Shultis Faw'!$A$2:$A$26,1)+1)-INDEX('Shultis Faw'!$C$2:$C$26,MATCH($C754,'Shultis Faw'!$A$2:$A$26,1)))/(INDEX('Shultis Faw'!$A$2:$A$26,MATCH($C754,'Shultis Faw'!$A$2:$A$26,1)+1)-INDEX('Shultis Faw'!$A$2:$A$26,MATCH($C754,'Shultis Faw'!$A$2:$A$26,1))),$C754*'Shultis Faw'!$C$2/'Shultis Faw'!$A$2)</f>
        <v>3.7645960000000001</v>
      </c>
      <c r="J754" s="83">
        <f>_xlfn.IFNA(INDEX('Shultis Faw'!$D$2:$D$26,MATCH($C754,'Shultis Faw'!$A$2:$A$26,1))+($C754-INDEX('Shultis Faw'!$A$2:$A$26,MATCH($C754,'Shultis Faw'!$A$2:$A$26,1)))*(INDEX('Shultis Faw'!$D$2:$D$26,MATCH($C754,'Shultis Faw'!$A$2:$A$26,1)+1)-INDEX('Shultis Faw'!$D$2:$D$26,MATCH($C754,'Shultis Faw'!$A$2:$A$26,1)))/(INDEX('Shultis Faw'!$A$2:$A$26,MATCH($C754,'Shultis Faw'!$A$2:$A$26,1)+1)-INDEX('Shultis Faw'!$A$2:$A$26,MATCH($C754,'Shultis Faw'!$A$2:$A$26,1))),$C754*'Shultis Faw'!$D$2/'Shultis Faw'!$A$2)</f>
        <v>2.2141920000000002</v>
      </c>
      <c r="K754" s="83">
        <f>_xlfn.IFNA(INDEX('Shultis Faw'!$B$2:$B$26,MATCH($C754,'Shultis Faw'!$A$2:$A$26,1))+($C754-INDEX('Shultis Faw'!$A$2:$A$26,MATCH($C754,'Shultis Faw'!$A$2:$A$26,1)))*(INDEX('Shultis Faw'!$B$2:$B$26,MATCH($C754,'Shultis Faw'!$A$2:$A$26,1)+1)-INDEX('Shultis Faw'!$B$2:$B$26,MATCH($C754,'Shultis Faw'!$A$2:$A$26,1)))/(INDEX('Shultis Faw'!$A$2:$A$26,MATCH($C754,'Shultis Faw'!$A$2:$A$26,1)+1)-INDEX('Shultis Faw'!$A$2:$A$26,MATCH($C754,'Shultis Faw'!$A$2:$A$26,1))),$C754*'Shultis Faw'!$B$2/'Shultis Faw'!$A$2)</f>
        <v>-0.18215599999999998</v>
      </c>
      <c r="L754" s="83">
        <f>_xlfn.IFNA(INDEX('Shultis Faw'!$E$2:$E$26,MATCH($C754,'Shultis Faw'!$A$2:$A$26,1))+($C754-INDEX('Shultis Faw'!$A$2:$A$26,MATCH($C754,'Shultis Faw'!$A$2:$A$26,1)))*(INDEX('Shultis Faw'!$E$2:$E$26,MATCH($C754,'Shultis Faw'!$A$2:$A$26,1)+1)-INDEX('Shultis Faw'!$E$2:$E$26,MATCH($C754,'Shultis Faw'!$A$2:$A$26,1)))/(INDEX('Shultis Faw'!$A$2:$A$26,MATCH($C754,'Shultis Faw'!$A$2:$A$26,1)+1)-INDEX('Shultis Faw'!$A$2:$A$26,MATCH($C754,'Shultis Faw'!$A$2:$A$26,1))),$C754*'Shultis Faw'!$E$2/'Shultis Faw'!$A$2)</f>
        <v>7.7605199999999999E-2</v>
      </c>
      <c r="M754" s="83">
        <f>_xlfn.IFNA(INDEX('Shultis Faw'!$F$2:$F$26,MATCH($C754,'Shultis Faw'!$A$2:$A$26,1))+($C754-INDEX('Shultis Faw'!$A$2:$A$26,MATCH($C754,'Shultis Faw'!$A$2:$A$26,1)))*(INDEX('Shultis Faw'!$F$2:$F$26,MATCH($C754,'Shultis Faw'!$A$2:$A$26,1)+1)-INDEX('Shultis Faw'!$F$2:$F$26,MATCH($C754,'Shultis Faw'!$A$2:$A$26,1)))/(INDEX('Shultis Faw'!$A$2:$A$26,MATCH($C754,'Shultis Faw'!$A$2:$A$26,1)+1)-INDEX('Shultis Faw'!$A$2:$A$26,MATCH($C754,'Shultis Faw'!$A$2:$A$26,1))),$C754*'Shultis Faw'!$F$2/'Shultis Faw'!$A$2)</f>
        <v>14.28796</v>
      </c>
      <c r="N754" s="83">
        <f>J754*(H754*'Externe blootstelling'!$D$23/2)^K754+L754*(TANH(((H754*'Externe blootstelling'!$D$23)/(2*M754))-2)-TANH(-2))/(1-TANH(-2))</f>
        <v>1.9205458069630204</v>
      </c>
      <c r="O754" s="83">
        <f>IF(N754=1,1+(I754-1)*H754*'Externe blootstelling'!$D$23/2,1+(I754-1)*(N754^(H754*'Externe blootstelling'!$D$23/2)-1)/(N754-1))</f>
        <v>10.511359016979823</v>
      </c>
      <c r="P754" s="67">
        <f>G754*EXP(-H754*'Externe blootstelling'!$D$23/2)*O754</f>
        <v>5.2693789185019707E-5</v>
      </c>
      <c r="Q754" s="68"/>
    </row>
    <row r="755" spans="1:17" x14ac:dyDescent="0.2">
      <c r="A755" s="220"/>
      <c r="B755" s="64" t="s">
        <v>104</v>
      </c>
      <c r="C755" s="66">
        <v>0.17565</v>
      </c>
      <c r="D755" s="66">
        <f t="shared" si="49"/>
        <v>2.8103999999999998E-14</v>
      </c>
      <c r="E755" s="66">
        <v>1.7000000000000001E-4</v>
      </c>
      <c r="F755" s="66">
        <f>_xlfn.IFNA(INDEX('hp (pSv cm2)'!$B$2:$B$52,MATCH($C755,'hp (pSv cm2)'!$A$2:$A$52,1))+($C755-INDEX('hp (pSv cm2)'!$A$2:$A$52,MATCH($C755,'hp (pSv cm2)'!$A$2:$A$52,1)))*(INDEX('hp (pSv cm2)'!$B$2:$B$52,MATCH($C755,'hp (pSv cm2)'!$A$2:$A$52,1)+1)-INDEX('hp (pSv cm2)'!$B$2:$B$52,MATCH($C755,'hp (pSv cm2)'!$A$2:$A$52,1)))/(INDEX('hp (pSv cm2)'!$A$2:$A$52,MATCH($C755,'hp (pSv cm2)'!$A$2:$A$52,1)+1)-INDEX('hp (pSv cm2)'!$A$2:$A$52,MATCH($C755,'hp (pSv cm2)'!$A$2:$A$52,1))),$C755*'hp (pSv cm2)'!$B$2/'hp (pSv cm2)'!$A$2)</f>
        <v>0.87678900000000004</v>
      </c>
      <c r="G755" s="67">
        <f t="shared" si="50"/>
        <v>1.4905413000000002E-4</v>
      </c>
      <c r="H755" s="83">
        <f>_xlfn.IFNA(0.997*(INDEX('Mass attenuation coefficients'!$B$2:$B$37,MATCH($C755,'Mass attenuation coefficients'!$A$2:$A$37,1))+($C755-INDEX('Mass attenuation coefficients'!$A$2:$A$37,MATCH($C755,'Mass attenuation coefficients'!$A$2:$A$37,1)))*(INDEX('Mass attenuation coefficients'!$B$2:$B$37,MATCH($C755,'Mass attenuation coefficients'!$A$2:$A$37,1)+1)-INDEX('Mass attenuation coefficients'!$B$2:$B$37,MATCH($C755,'Mass attenuation coefficients'!$A$2:$A$37,1)))/(INDEX('Mass attenuation coefficients'!$A$2:$A$37,MATCH($C755,'Mass attenuation coefficients'!$A$2:$A$37,1)+1)-INDEX('Mass attenuation coefficients'!$A$2:$A$37,MATCH($C755,'Mass attenuation coefficients'!$A$2:$A$37,1)))),0.997*$C755*'Mass attenuation coefficients'!$B$2/'Mass attenuation coefficients'!$A$2)</f>
        <v>0.14314377649999999</v>
      </c>
      <c r="I755" s="83">
        <f>_xlfn.IFNA(INDEX('Shultis Faw'!$C$2:$C$26,MATCH($C755,'Shultis Faw'!$A$2:$A$26,1))+($C755-INDEX('Shultis Faw'!$A$2:$A$26,MATCH($C755,'Shultis Faw'!$A$2:$A$26,1)))*(INDEX('Shultis Faw'!$C$2:$C$26,MATCH($C755,'Shultis Faw'!$A$2:$A$26,1)+1)-INDEX('Shultis Faw'!$C$2:$C$26,MATCH($C755,'Shultis Faw'!$A$2:$A$26,1)))/(INDEX('Shultis Faw'!$A$2:$A$26,MATCH($C755,'Shultis Faw'!$A$2:$A$26,1)+1)-INDEX('Shultis Faw'!$A$2:$A$26,MATCH($C755,'Shultis Faw'!$A$2:$A$26,1))),$C755*'Shultis Faw'!$C$2/'Shultis Faw'!$A$2)</f>
        <v>3.6820529999999998</v>
      </c>
      <c r="J755" s="83">
        <f>_xlfn.IFNA(INDEX('Shultis Faw'!$D$2:$D$26,MATCH($C755,'Shultis Faw'!$A$2:$A$26,1))+($C755-INDEX('Shultis Faw'!$A$2:$A$26,MATCH($C755,'Shultis Faw'!$A$2:$A$26,1)))*(INDEX('Shultis Faw'!$D$2:$D$26,MATCH($C755,'Shultis Faw'!$A$2:$A$26,1)+1)-INDEX('Shultis Faw'!$D$2:$D$26,MATCH($C755,'Shultis Faw'!$A$2:$A$26,1)))/(INDEX('Shultis Faw'!$A$2:$A$26,MATCH($C755,'Shultis Faw'!$A$2:$A$26,1)+1)-INDEX('Shultis Faw'!$A$2:$A$26,MATCH($C755,'Shultis Faw'!$A$2:$A$26,1))),$C755*'Shultis Faw'!$D$2/'Shultis Faw'!$A$2)</f>
        <v>2.1968559999999999</v>
      </c>
      <c r="K755" s="83">
        <f>_xlfn.IFNA(INDEX('Shultis Faw'!$B$2:$B$26,MATCH($C755,'Shultis Faw'!$A$2:$A$26,1))+($C755-INDEX('Shultis Faw'!$A$2:$A$26,MATCH($C755,'Shultis Faw'!$A$2:$A$26,1)))*(INDEX('Shultis Faw'!$B$2:$B$26,MATCH($C755,'Shultis Faw'!$A$2:$A$26,1)+1)-INDEX('Shultis Faw'!$B$2:$B$26,MATCH($C755,'Shultis Faw'!$A$2:$A$26,1)))/(INDEX('Shultis Faw'!$A$2:$A$26,MATCH($C755,'Shultis Faw'!$A$2:$A$26,1)+1)-INDEX('Shultis Faw'!$A$2:$A$26,MATCH($C755,'Shultis Faw'!$A$2:$A$26,1))),$C755*'Shultis Faw'!$B$2/'Shultis Faw'!$A$2)</f>
        <v>-0.18038299999999999</v>
      </c>
      <c r="L755" s="83">
        <f>_xlfn.IFNA(INDEX('Shultis Faw'!$E$2:$E$26,MATCH($C755,'Shultis Faw'!$A$2:$A$26,1))+($C755-INDEX('Shultis Faw'!$A$2:$A$26,MATCH($C755,'Shultis Faw'!$A$2:$A$26,1)))*(INDEX('Shultis Faw'!$E$2:$E$26,MATCH($C755,'Shultis Faw'!$A$2:$A$26,1)+1)-INDEX('Shultis Faw'!$E$2:$E$26,MATCH($C755,'Shultis Faw'!$A$2:$A$26,1)))/(INDEX('Shultis Faw'!$A$2:$A$26,MATCH($C755,'Shultis Faw'!$A$2:$A$26,1)+1)-INDEX('Shultis Faw'!$A$2:$A$26,MATCH($C755,'Shultis Faw'!$A$2:$A$26,1))),$C755*'Shultis Faw'!$E$2/'Shultis Faw'!$A$2)</f>
        <v>7.7546100000000007E-2</v>
      </c>
      <c r="M755" s="83">
        <f>_xlfn.IFNA(INDEX('Shultis Faw'!$F$2:$F$26,MATCH($C755,'Shultis Faw'!$A$2:$A$26,1))+($C755-INDEX('Shultis Faw'!$A$2:$A$26,MATCH($C755,'Shultis Faw'!$A$2:$A$26,1)))*(INDEX('Shultis Faw'!$F$2:$F$26,MATCH($C755,'Shultis Faw'!$A$2:$A$26,1)+1)-INDEX('Shultis Faw'!$F$2:$F$26,MATCH($C755,'Shultis Faw'!$A$2:$A$26,1)))/(INDEX('Shultis Faw'!$A$2:$A$26,MATCH($C755,'Shultis Faw'!$A$2:$A$26,1)+1)-INDEX('Shultis Faw'!$A$2:$A$26,MATCH($C755,'Shultis Faw'!$A$2:$A$26,1))),$C755*'Shultis Faw'!$F$2/'Shultis Faw'!$A$2)</f>
        <v>14.349029999999999</v>
      </c>
      <c r="N755" s="83">
        <f>J755*(H755*'Externe blootstelling'!$D$23/2)^K755+L755*(TANH(((H755*'Externe blootstelling'!$D$23)/(2*M755))-2)-TANH(-2))/(1-TANH(-2))</f>
        <v>1.9144707112275132</v>
      </c>
      <c r="O755" s="83">
        <f>IF(N755=1,1+(I755-1)*H755*'Externe blootstelling'!$D$23/2,1+(I755-1)*(N755^(H755*'Externe blootstelling'!$D$23/2)-1)/(N755-1))</f>
        <v>9.8947994222291431</v>
      </c>
      <c r="P755" s="67">
        <f>G755*EXP(-H755*'Externe blootstelling'!$D$23/2)*O755</f>
        <v>1.722870858683272E-4</v>
      </c>
      <c r="Q755" s="68"/>
    </row>
    <row r="756" spans="1:17" x14ac:dyDescent="0.2">
      <c r="A756" s="220"/>
      <c r="B756" s="64" t="s">
        <v>104</v>
      </c>
      <c r="C756" s="66">
        <v>0.17730000000000001</v>
      </c>
      <c r="D756" s="66">
        <f t="shared" si="49"/>
        <v>2.8367999999999997E-14</v>
      </c>
      <c r="E756" s="66">
        <v>4.6999999999999999E-4</v>
      </c>
      <c r="F756" s="66">
        <f>_xlfn.IFNA(INDEX('hp (pSv cm2)'!$B$2:$B$52,MATCH($C756,'hp (pSv cm2)'!$A$2:$A$52,1))+($C756-INDEX('hp (pSv cm2)'!$A$2:$A$52,MATCH($C756,'hp (pSv cm2)'!$A$2:$A$52,1)))*(INDEX('hp (pSv cm2)'!$B$2:$B$52,MATCH($C756,'hp (pSv cm2)'!$A$2:$A$52,1)+1)-INDEX('hp (pSv cm2)'!$B$2:$B$52,MATCH($C756,'hp (pSv cm2)'!$A$2:$A$52,1)))/(INDEX('hp (pSv cm2)'!$A$2:$A$52,MATCH($C756,'hp (pSv cm2)'!$A$2:$A$52,1)+1)-INDEX('hp (pSv cm2)'!$A$2:$A$52,MATCH($C756,'hp (pSv cm2)'!$A$2:$A$52,1))),$C756*'hp (pSv cm2)'!$B$2/'hp (pSv cm2)'!$A$2)</f>
        <v>0.88513799999999998</v>
      </c>
      <c r="G756" s="67">
        <f t="shared" si="50"/>
        <v>4.1601485999999996E-4</v>
      </c>
      <c r="H756" s="83">
        <f>_xlfn.IFNA(0.997*(INDEX('Mass attenuation coefficients'!$B$2:$B$37,MATCH($C756,'Mass attenuation coefficients'!$A$2:$A$37,1))+($C756-INDEX('Mass attenuation coefficients'!$A$2:$A$37,MATCH($C756,'Mass attenuation coefficients'!$A$2:$A$37,1)))*(INDEX('Mass attenuation coefficients'!$B$2:$B$37,MATCH($C756,'Mass attenuation coefficients'!$A$2:$A$37,1)+1)-INDEX('Mass attenuation coefficients'!$B$2:$B$37,MATCH($C756,'Mass attenuation coefficients'!$A$2:$A$37,1)))/(INDEX('Mass attenuation coefficients'!$A$2:$A$37,MATCH($C756,'Mass attenuation coefficients'!$A$2:$A$37,1)+1)-INDEX('Mass attenuation coefficients'!$A$2:$A$37,MATCH($C756,'Mass attenuation coefficients'!$A$2:$A$37,1)))),0.997*$C756*'Mass attenuation coefficients'!$B$2/'Mass attenuation coefficients'!$A$2)</f>
        <v>0.142699613</v>
      </c>
      <c r="I756" s="83">
        <f>_xlfn.IFNA(INDEX('Shultis Faw'!$C$2:$C$26,MATCH($C756,'Shultis Faw'!$A$2:$A$26,1))+($C756-INDEX('Shultis Faw'!$A$2:$A$26,MATCH($C756,'Shultis Faw'!$A$2:$A$26,1)))*(INDEX('Shultis Faw'!$C$2:$C$26,MATCH($C756,'Shultis Faw'!$A$2:$A$26,1)+1)-INDEX('Shultis Faw'!$C$2:$C$26,MATCH($C756,'Shultis Faw'!$A$2:$A$26,1)))/(INDEX('Shultis Faw'!$A$2:$A$26,MATCH($C756,'Shultis Faw'!$A$2:$A$26,1)+1)-INDEX('Shultis Faw'!$A$2:$A$26,MATCH($C756,'Shultis Faw'!$A$2:$A$26,1))),$C756*'Shultis Faw'!$C$2/'Shultis Faw'!$A$2)</f>
        <v>3.6682259999999998</v>
      </c>
      <c r="J756" s="83">
        <f>_xlfn.IFNA(INDEX('Shultis Faw'!$D$2:$D$26,MATCH($C756,'Shultis Faw'!$A$2:$A$26,1))+($C756-INDEX('Shultis Faw'!$A$2:$A$26,MATCH($C756,'Shultis Faw'!$A$2:$A$26,1)))*(INDEX('Shultis Faw'!$D$2:$D$26,MATCH($C756,'Shultis Faw'!$A$2:$A$26,1)+1)-INDEX('Shultis Faw'!$D$2:$D$26,MATCH($C756,'Shultis Faw'!$A$2:$A$26,1)))/(INDEX('Shultis Faw'!$A$2:$A$26,MATCH($C756,'Shultis Faw'!$A$2:$A$26,1)+1)-INDEX('Shultis Faw'!$A$2:$A$26,MATCH($C756,'Shultis Faw'!$A$2:$A$26,1))),$C756*'Shultis Faw'!$D$2/'Shultis Faw'!$A$2)</f>
        <v>2.1939519999999999</v>
      </c>
      <c r="K756" s="83">
        <f>_xlfn.IFNA(INDEX('Shultis Faw'!$B$2:$B$26,MATCH($C756,'Shultis Faw'!$A$2:$A$26,1))+($C756-INDEX('Shultis Faw'!$A$2:$A$26,MATCH($C756,'Shultis Faw'!$A$2:$A$26,1)))*(INDEX('Shultis Faw'!$B$2:$B$26,MATCH($C756,'Shultis Faw'!$A$2:$A$26,1)+1)-INDEX('Shultis Faw'!$B$2:$B$26,MATCH($C756,'Shultis Faw'!$A$2:$A$26,1)))/(INDEX('Shultis Faw'!$A$2:$A$26,MATCH($C756,'Shultis Faw'!$A$2:$A$26,1)+1)-INDEX('Shultis Faw'!$A$2:$A$26,MATCH($C756,'Shultis Faw'!$A$2:$A$26,1))),$C756*'Shultis Faw'!$B$2/'Shultis Faw'!$A$2)</f>
        <v>-0.180086</v>
      </c>
      <c r="L756" s="83">
        <f>_xlfn.IFNA(INDEX('Shultis Faw'!$E$2:$E$26,MATCH($C756,'Shultis Faw'!$A$2:$A$26,1))+($C756-INDEX('Shultis Faw'!$A$2:$A$26,MATCH($C756,'Shultis Faw'!$A$2:$A$26,1)))*(INDEX('Shultis Faw'!$E$2:$E$26,MATCH($C756,'Shultis Faw'!$A$2:$A$26,1)+1)-INDEX('Shultis Faw'!$E$2:$E$26,MATCH($C756,'Shultis Faw'!$A$2:$A$26,1)))/(INDEX('Shultis Faw'!$A$2:$A$26,MATCH($C756,'Shultis Faw'!$A$2:$A$26,1)+1)-INDEX('Shultis Faw'!$A$2:$A$26,MATCH($C756,'Shultis Faw'!$A$2:$A$26,1))),$C756*'Shultis Faw'!$E$2/'Shultis Faw'!$A$2)</f>
        <v>7.75362E-2</v>
      </c>
      <c r="M756" s="83">
        <f>_xlfn.IFNA(INDEX('Shultis Faw'!$F$2:$F$26,MATCH($C756,'Shultis Faw'!$A$2:$A$26,1))+($C756-INDEX('Shultis Faw'!$A$2:$A$26,MATCH($C756,'Shultis Faw'!$A$2:$A$26,1)))*(INDEX('Shultis Faw'!$F$2:$F$26,MATCH($C756,'Shultis Faw'!$A$2:$A$26,1)+1)-INDEX('Shultis Faw'!$F$2:$F$26,MATCH($C756,'Shultis Faw'!$A$2:$A$26,1)))/(INDEX('Shultis Faw'!$A$2:$A$26,MATCH($C756,'Shultis Faw'!$A$2:$A$26,1)+1)-INDEX('Shultis Faw'!$A$2:$A$26,MATCH($C756,'Shultis Faw'!$A$2:$A$26,1))),$C756*'Shultis Faw'!$F$2/'Shultis Faw'!$A$2)</f>
        <v>14.359259999999999</v>
      </c>
      <c r="N756" s="83">
        <f>J756*(H756*'Externe blootstelling'!$D$23/2)^K756+L756*(TANH(((H756*'Externe blootstelling'!$D$23)/(2*M756))-2)-TANH(-2))/(1-TANH(-2))</f>
        <v>1.9134426182198752</v>
      </c>
      <c r="O756" s="83">
        <f>IF(N756=1,1+(I756-1)*H756*'Externe blootstelling'!$D$23/2,1+(I756-1)*(N756^(H756*'Externe blootstelling'!$D$23/2)-1)/(N756-1))</f>
        <v>9.794564547287429</v>
      </c>
      <c r="P756" s="67">
        <f>G756*EXP(-H756*'Externe blootstelling'!$D$23/2)*O756</f>
        <v>4.7916949162593478E-4</v>
      </c>
      <c r="Q756" s="68"/>
    </row>
    <row r="757" spans="1:17" x14ac:dyDescent="0.2">
      <c r="A757" s="220"/>
      <c r="B757" s="64" t="s">
        <v>104</v>
      </c>
      <c r="C757" s="66">
        <v>0.17954000000000001</v>
      </c>
      <c r="D757" s="66">
        <f t="shared" si="49"/>
        <v>2.8726399999999999E-14</v>
      </c>
      <c r="E757" s="66">
        <v>1.5399999999999999E-3</v>
      </c>
      <c r="F757" s="66">
        <f>_xlfn.IFNA(INDEX('hp (pSv cm2)'!$B$2:$B$52,MATCH($C757,'hp (pSv cm2)'!$A$2:$A$52,1))+($C757-INDEX('hp (pSv cm2)'!$A$2:$A$52,MATCH($C757,'hp (pSv cm2)'!$A$2:$A$52,1)))*(INDEX('hp (pSv cm2)'!$B$2:$B$52,MATCH($C757,'hp (pSv cm2)'!$A$2:$A$52,1)+1)-INDEX('hp (pSv cm2)'!$B$2:$B$52,MATCH($C757,'hp (pSv cm2)'!$A$2:$A$52,1)))/(INDEX('hp (pSv cm2)'!$A$2:$A$52,MATCH($C757,'hp (pSv cm2)'!$A$2:$A$52,1)+1)-INDEX('hp (pSv cm2)'!$A$2:$A$52,MATCH($C757,'hp (pSv cm2)'!$A$2:$A$52,1))),$C757*'hp (pSv cm2)'!$B$2/'hp (pSv cm2)'!$A$2)</f>
        <v>0.89647239999999995</v>
      </c>
      <c r="G757" s="67">
        <f t="shared" si="50"/>
        <v>1.3805674959999998E-3</v>
      </c>
      <c r="H757" s="83">
        <f>_xlfn.IFNA(0.997*(INDEX('Mass attenuation coefficients'!$B$2:$B$37,MATCH($C757,'Mass attenuation coefficients'!$A$2:$A$37,1))+($C757-INDEX('Mass attenuation coefficients'!$A$2:$A$37,MATCH($C757,'Mass attenuation coefficients'!$A$2:$A$37,1)))*(INDEX('Mass attenuation coefficients'!$B$2:$B$37,MATCH($C757,'Mass attenuation coefficients'!$A$2:$A$37,1)+1)-INDEX('Mass attenuation coefficients'!$B$2:$B$37,MATCH($C757,'Mass attenuation coefficients'!$A$2:$A$37,1)))/(INDEX('Mass attenuation coefficients'!$A$2:$A$37,MATCH($C757,'Mass attenuation coefficients'!$A$2:$A$37,1)+1)-INDEX('Mass attenuation coefficients'!$A$2:$A$37,MATCH($C757,'Mass attenuation coefficients'!$A$2:$A$37,1)))),0.997*$C757*'Mass attenuation coefficients'!$B$2/'Mass attenuation coefficients'!$A$2)</f>
        <v>0.14209662739999998</v>
      </c>
      <c r="I757" s="83">
        <f>_xlfn.IFNA(INDEX('Shultis Faw'!$C$2:$C$26,MATCH($C757,'Shultis Faw'!$A$2:$A$26,1))+($C757-INDEX('Shultis Faw'!$A$2:$A$26,MATCH($C757,'Shultis Faw'!$A$2:$A$26,1)))*(INDEX('Shultis Faw'!$C$2:$C$26,MATCH($C757,'Shultis Faw'!$A$2:$A$26,1)+1)-INDEX('Shultis Faw'!$C$2:$C$26,MATCH($C757,'Shultis Faw'!$A$2:$A$26,1)))/(INDEX('Shultis Faw'!$A$2:$A$26,MATCH($C757,'Shultis Faw'!$A$2:$A$26,1)+1)-INDEX('Shultis Faw'!$A$2:$A$26,MATCH($C757,'Shultis Faw'!$A$2:$A$26,1))),$C757*'Shultis Faw'!$C$2/'Shultis Faw'!$A$2)</f>
        <v>3.6494548</v>
      </c>
      <c r="J757" s="83">
        <f>_xlfn.IFNA(INDEX('Shultis Faw'!$D$2:$D$26,MATCH($C757,'Shultis Faw'!$A$2:$A$26,1))+($C757-INDEX('Shultis Faw'!$A$2:$A$26,MATCH($C757,'Shultis Faw'!$A$2:$A$26,1)))*(INDEX('Shultis Faw'!$D$2:$D$26,MATCH($C757,'Shultis Faw'!$A$2:$A$26,1)+1)-INDEX('Shultis Faw'!$D$2:$D$26,MATCH($C757,'Shultis Faw'!$A$2:$A$26,1)))/(INDEX('Shultis Faw'!$A$2:$A$26,MATCH($C757,'Shultis Faw'!$A$2:$A$26,1)+1)-INDEX('Shultis Faw'!$A$2:$A$26,MATCH($C757,'Shultis Faw'!$A$2:$A$26,1))),$C757*'Shultis Faw'!$D$2/'Shultis Faw'!$A$2)</f>
        <v>2.1900095999999998</v>
      </c>
      <c r="K757" s="83">
        <f>_xlfn.IFNA(INDEX('Shultis Faw'!$B$2:$B$26,MATCH($C757,'Shultis Faw'!$A$2:$A$26,1))+($C757-INDEX('Shultis Faw'!$A$2:$A$26,MATCH($C757,'Shultis Faw'!$A$2:$A$26,1)))*(INDEX('Shultis Faw'!$B$2:$B$26,MATCH($C757,'Shultis Faw'!$A$2:$A$26,1)+1)-INDEX('Shultis Faw'!$B$2:$B$26,MATCH($C757,'Shultis Faw'!$A$2:$A$26,1)))/(INDEX('Shultis Faw'!$A$2:$A$26,MATCH($C757,'Shultis Faw'!$A$2:$A$26,1)+1)-INDEX('Shultis Faw'!$A$2:$A$26,MATCH($C757,'Shultis Faw'!$A$2:$A$26,1))),$C757*'Shultis Faw'!$B$2/'Shultis Faw'!$A$2)</f>
        <v>-0.1796828</v>
      </c>
      <c r="L757" s="83">
        <f>_xlfn.IFNA(INDEX('Shultis Faw'!$E$2:$E$26,MATCH($C757,'Shultis Faw'!$A$2:$A$26,1))+($C757-INDEX('Shultis Faw'!$A$2:$A$26,MATCH($C757,'Shultis Faw'!$A$2:$A$26,1)))*(INDEX('Shultis Faw'!$E$2:$E$26,MATCH($C757,'Shultis Faw'!$A$2:$A$26,1)+1)-INDEX('Shultis Faw'!$E$2:$E$26,MATCH($C757,'Shultis Faw'!$A$2:$A$26,1)))/(INDEX('Shultis Faw'!$A$2:$A$26,MATCH($C757,'Shultis Faw'!$A$2:$A$26,1)+1)-INDEX('Shultis Faw'!$A$2:$A$26,MATCH($C757,'Shultis Faw'!$A$2:$A$26,1))),$C757*'Shultis Faw'!$E$2/'Shultis Faw'!$A$2)</f>
        <v>7.7522759999999996E-2</v>
      </c>
      <c r="M757" s="83">
        <f>_xlfn.IFNA(INDEX('Shultis Faw'!$F$2:$F$26,MATCH($C757,'Shultis Faw'!$A$2:$A$26,1))+($C757-INDEX('Shultis Faw'!$A$2:$A$26,MATCH($C757,'Shultis Faw'!$A$2:$A$26,1)))*(INDEX('Shultis Faw'!$F$2:$F$26,MATCH($C757,'Shultis Faw'!$A$2:$A$26,1)+1)-INDEX('Shultis Faw'!$F$2:$F$26,MATCH($C757,'Shultis Faw'!$A$2:$A$26,1)))/(INDEX('Shultis Faw'!$A$2:$A$26,MATCH($C757,'Shultis Faw'!$A$2:$A$26,1)+1)-INDEX('Shultis Faw'!$A$2:$A$26,MATCH($C757,'Shultis Faw'!$A$2:$A$26,1))),$C757*'Shultis Faw'!$F$2/'Shultis Faw'!$A$2)</f>
        <v>14.373148</v>
      </c>
      <c r="N757" s="83">
        <f>J757*(H757*'Externe blootstelling'!$D$23/2)^K757+L757*(TANH(((H757*'Externe blootstelling'!$D$23)/(2*M757))-2)-TANH(-2))/(1-TANH(-2))</f>
        <v>1.9120421142844339</v>
      </c>
      <c r="O757" s="83">
        <f>IF(N757=1,1+(I757-1)*H757*'Externe blootstelling'!$D$23/2,1+(I757-1)*(N757^(H757*'Externe blootstelling'!$D$23/2)-1)/(N757-1))</f>
        <v>9.6598588915585051</v>
      </c>
      <c r="P757" s="67">
        <f>G757*EXP(-H757*'Externe blootstelling'!$D$23/2)*O757</f>
        <v>1.5825291154281614E-3</v>
      </c>
      <c r="Q757" s="68"/>
    </row>
    <row r="758" spans="1:17" x14ac:dyDescent="0.2">
      <c r="A758" s="220"/>
      <c r="B758" s="64" t="s">
        <v>104</v>
      </c>
      <c r="C758" s="66">
        <v>0.1993</v>
      </c>
      <c r="D758" s="66">
        <f t="shared" si="49"/>
        <v>3.1887999999999998E-14</v>
      </c>
      <c r="E758" s="66">
        <v>3.0000000000000001E-5</v>
      </c>
      <c r="F758" s="66">
        <f>_xlfn.IFNA(INDEX('hp (pSv cm2)'!$B$2:$B$52,MATCH($C758,'hp (pSv cm2)'!$A$2:$A$52,1))+($C758-INDEX('hp (pSv cm2)'!$A$2:$A$52,MATCH($C758,'hp (pSv cm2)'!$A$2:$A$52,1)))*(INDEX('hp (pSv cm2)'!$B$2:$B$52,MATCH($C758,'hp (pSv cm2)'!$A$2:$A$52,1)+1)-INDEX('hp (pSv cm2)'!$B$2:$B$52,MATCH($C758,'hp (pSv cm2)'!$A$2:$A$52,1)))/(INDEX('hp (pSv cm2)'!$A$2:$A$52,MATCH($C758,'hp (pSv cm2)'!$A$2:$A$52,1)+1)-INDEX('hp (pSv cm2)'!$A$2:$A$52,MATCH($C758,'hp (pSv cm2)'!$A$2:$A$52,1))),$C758*'hp (pSv cm2)'!$B$2/'hp (pSv cm2)'!$A$2)</f>
        <v>0.99645799999999995</v>
      </c>
      <c r="G758" s="67">
        <f t="shared" si="50"/>
        <v>2.9893740000000001E-5</v>
      </c>
      <c r="H758" s="83">
        <f>_xlfn.IFNA(0.997*(INDEX('Mass attenuation coefficients'!$B$2:$B$37,MATCH($C758,'Mass attenuation coefficients'!$A$2:$A$37,1))+($C758-INDEX('Mass attenuation coefficients'!$A$2:$A$37,MATCH($C758,'Mass attenuation coefficients'!$A$2:$A$37,1)))*(INDEX('Mass attenuation coefficients'!$B$2:$B$37,MATCH($C758,'Mass attenuation coefficients'!$A$2:$A$37,1)+1)-INDEX('Mass attenuation coefficients'!$B$2:$B$37,MATCH($C758,'Mass attenuation coefficients'!$A$2:$A$37,1)))/(INDEX('Mass attenuation coefficients'!$A$2:$A$37,MATCH($C758,'Mass attenuation coefficients'!$A$2:$A$37,1)+1)-INDEX('Mass attenuation coefficients'!$A$2:$A$37,MATCH($C758,'Mass attenuation coefficients'!$A$2:$A$37,1)))),0.997*$C758*'Mass attenuation coefficients'!$B$2/'Mass attenuation coefficients'!$A$2)</f>
        <v>0.136777433</v>
      </c>
      <c r="I758" s="83">
        <f>_xlfn.IFNA(INDEX('Shultis Faw'!$C$2:$C$26,MATCH($C758,'Shultis Faw'!$A$2:$A$26,1))+($C758-INDEX('Shultis Faw'!$A$2:$A$26,MATCH($C758,'Shultis Faw'!$A$2:$A$26,1)))*(INDEX('Shultis Faw'!$C$2:$C$26,MATCH($C758,'Shultis Faw'!$A$2:$A$26,1)+1)-INDEX('Shultis Faw'!$C$2:$C$26,MATCH($C758,'Shultis Faw'!$A$2:$A$26,1)))/(INDEX('Shultis Faw'!$A$2:$A$26,MATCH($C758,'Shultis Faw'!$A$2:$A$26,1)+1)-INDEX('Shultis Faw'!$A$2:$A$26,MATCH($C758,'Shultis Faw'!$A$2:$A$26,1))),$C758*'Shultis Faw'!$C$2/'Shultis Faw'!$A$2)</f>
        <v>3.4838660000000004</v>
      </c>
      <c r="J758" s="83">
        <f>_xlfn.IFNA(INDEX('Shultis Faw'!$D$2:$D$26,MATCH($C758,'Shultis Faw'!$A$2:$A$26,1))+($C758-INDEX('Shultis Faw'!$A$2:$A$26,MATCH($C758,'Shultis Faw'!$A$2:$A$26,1)))*(INDEX('Shultis Faw'!$D$2:$D$26,MATCH($C758,'Shultis Faw'!$A$2:$A$26,1)+1)-INDEX('Shultis Faw'!$D$2:$D$26,MATCH($C758,'Shultis Faw'!$A$2:$A$26,1)))/(INDEX('Shultis Faw'!$A$2:$A$26,MATCH($C758,'Shultis Faw'!$A$2:$A$26,1)+1)-INDEX('Shultis Faw'!$A$2:$A$26,MATCH($C758,'Shultis Faw'!$A$2:$A$26,1))),$C758*'Shultis Faw'!$D$2/'Shultis Faw'!$A$2)</f>
        <v>2.1552319999999998</v>
      </c>
      <c r="K758" s="83">
        <f>_xlfn.IFNA(INDEX('Shultis Faw'!$B$2:$B$26,MATCH($C758,'Shultis Faw'!$A$2:$A$26,1))+($C758-INDEX('Shultis Faw'!$A$2:$A$26,MATCH($C758,'Shultis Faw'!$A$2:$A$26,1)))*(INDEX('Shultis Faw'!$B$2:$B$26,MATCH($C758,'Shultis Faw'!$A$2:$A$26,1)+1)-INDEX('Shultis Faw'!$B$2:$B$26,MATCH($C758,'Shultis Faw'!$A$2:$A$26,1)))/(INDEX('Shultis Faw'!$A$2:$A$26,MATCH($C758,'Shultis Faw'!$A$2:$A$26,1)+1)-INDEX('Shultis Faw'!$A$2:$A$26,MATCH($C758,'Shultis Faw'!$A$2:$A$26,1))),$C758*'Shultis Faw'!$B$2/'Shultis Faw'!$A$2)</f>
        <v>-0.176126</v>
      </c>
      <c r="L758" s="83">
        <f>_xlfn.IFNA(INDEX('Shultis Faw'!$E$2:$E$26,MATCH($C758,'Shultis Faw'!$A$2:$A$26,1))+($C758-INDEX('Shultis Faw'!$A$2:$A$26,MATCH($C758,'Shultis Faw'!$A$2:$A$26,1)))*(INDEX('Shultis Faw'!$E$2:$E$26,MATCH($C758,'Shultis Faw'!$A$2:$A$26,1)+1)-INDEX('Shultis Faw'!$E$2:$E$26,MATCH($C758,'Shultis Faw'!$A$2:$A$26,1)))/(INDEX('Shultis Faw'!$A$2:$A$26,MATCH($C758,'Shultis Faw'!$A$2:$A$26,1)+1)-INDEX('Shultis Faw'!$A$2:$A$26,MATCH($C758,'Shultis Faw'!$A$2:$A$26,1))),$C758*'Shultis Faw'!$E$2/'Shultis Faw'!$A$2)</f>
        <v>7.7404199999999992E-2</v>
      </c>
      <c r="M758" s="83">
        <f>_xlfn.IFNA(INDEX('Shultis Faw'!$F$2:$F$26,MATCH($C758,'Shultis Faw'!$A$2:$A$26,1))+($C758-INDEX('Shultis Faw'!$A$2:$A$26,MATCH($C758,'Shultis Faw'!$A$2:$A$26,1)))*(INDEX('Shultis Faw'!$F$2:$F$26,MATCH($C758,'Shultis Faw'!$A$2:$A$26,1)+1)-INDEX('Shultis Faw'!$F$2:$F$26,MATCH($C758,'Shultis Faw'!$A$2:$A$26,1)))/(INDEX('Shultis Faw'!$A$2:$A$26,MATCH($C758,'Shultis Faw'!$A$2:$A$26,1)+1)-INDEX('Shultis Faw'!$A$2:$A$26,MATCH($C758,'Shultis Faw'!$A$2:$A$26,1))),$C758*'Shultis Faw'!$F$2/'Shultis Faw'!$A$2)</f>
        <v>14.495659999999999</v>
      </c>
      <c r="N758" s="83">
        <f>J758*(H758*'Externe blootstelling'!$D$23/2)^K758+L758*(TANH(((H758*'Externe blootstelling'!$D$23)/(2*M758))-2)-TANH(-2))/(1-TANH(-2))</f>
        <v>1.8994490719756452</v>
      </c>
      <c r="O758" s="83">
        <f>IF(N758=1,1+(I758-1)*H758*'Externe blootstelling'!$D$23/2,1+(I758-1)*(N758^(H758*'Externe blootstelling'!$D$23/2)-1)/(N758-1))</f>
        <v>8.5376043999663693</v>
      </c>
      <c r="P758" s="67">
        <f>G758*EXP(-H758*'Externe blootstelling'!$D$23/2)*O758</f>
        <v>3.2801296831381584E-5</v>
      </c>
      <c r="Q758" s="68"/>
    </row>
    <row r="759" spans="1:17" x14ac:dyDescent="0.2">
      <c r="A759" s="220"/>
      <c r="B759" s="64" t="s">
        <v>104</v>
      </c>
      <c r="C759" s="66">
        <v>0.22131999999999999</v>
      </c>
      <c r="D759" s="66">
        <f t="shared" si="49"/>
        <v>3.5411199999999996E-14</v>
      </c>
      <c r="E759" s="66">
        <v>3.5999999999999997E-4</v>
      </c>
      <c r="F759" s="66">
        <f>_xlfn.IFNA(INDEX('hp (pSv cm2)'!$B$2:$B$52,MATCH($C759,'hp (pSv cm2)'!$A$2:$A$52,1))+($C759-INDEX('hp (pSv cm2)'!$A$2:$A$52,MATCH($C759,'hp (pSv cm2)'!$A$2:$A$52,1)))*(INDEX('hp (pSv cm2)'!$B$2:$B$52,MATCH($C759,'hp (pSv cm2)'!$A$2:$A$52,1)+1)-INDEX('hp (pSv cm2)'!$B$2:$B$52,MATCH($C759,'hp (pSv cm2)'!$A$2:$A$52,1)))/(INDEX('hp (pSv cm2)'!$A$2:$A$52,MATCH($C759,'hp (pSv cm2)'!$A$2:$A$52,1)+1)-INDEX('hp (pSv cm2)'!$A$2:$A$52,MATCH($C759,'hp (pSv cm2)'!$A$2:$A$52,1))),$C759*'hp (pSv cm2)'!$B$2/'hp (pSv cm2)'!$A$2)</f>
        <v>1.1087319999999998</v>
      </c>
      <c r="G759" s="67">
        <f t="shared" si="50"/>
        <v>3.991435199999999E-4</v>
      </c>
      <c r="H759" s="83">
        <f>_xlfn.IFNA(0.997*(INDEX('Mass attenuation coefficients'!$B$2:$B$37,MATCH($C759,'Mass attenuation coefficients'!$A$2:$A$37,1))+($C759-INDEX('Mass attenuation coefficients'!$A$2:$A$37,MATCH($C759,'Mass attenuation coefficients'!$A$2:$A$37,1)))*(INDEX('Mass attenuation coefficients'!$B$2:$B$37,MATCH($C759,'Mass attenuation coefficients'!$A$2:$A$37,1)+1)-INDEX('Mass attenuation coefficients'!$B$2:$B$37,MATCH($C759,'Mass attenuation coefficients'!$A$2:$A$37,1)))/(INDEX('Mass attenuation coefficients'!$A$2:$A$37,MATCH($C759,'Mass attenuation coefficients'!$A$2:$A$37,1)+1)-INDEX('Mass attenuation coefficients'!$A$2:$A$37,MATCH($C759,'Mass attenuation coefficients'!$A$2:$A$37,1)))),0.997*$C759*'Mass attenuation coefficients'!$B$2/'Mass attenuation coefficients'!$A$2)</f>
        <v>0.13267788864000002</v>
      </c>
      <c r="I759" s="83">
        <f>_xlfn.IFNA(INDEX('Shultis Faw'!$C$2:$C$26,MATCH($C759,'Shultis Faw'!$A$2:$A$26,1))+($C759-INDEX('Shultis Faw'!$A$2:$A$26,MATCH($C759,'Shultis Faw'!$A$2:$A$26,1)))*(INDEX('Shultis Faw'!$C$2:$C$26,MATCH($C759,'Shultis Faw'!$A$2:$A$26,1)+1)-INDEX('Shultis Faw'!$C$2:$C$26,MATCH($C759,'Shultis Faw'!$A$2:$A$26,1)))/(INDEX('Shultis Faw'!$A$2:$A$26,MATCH($C759,'Shultis Faw'!$A$2:$A$26,1)+1)-INDEX('Shultis Faw'!$A$2:$A$26,MATCH($C759,'Shultis Faw'!$A$2:$A$26,1))),$C759*'Shultis Faw'!$C$2/'Shultis Faw'!$A$2)</f>
        <v>3.3590344000000001</v>
      </c>
      <c r="J759" s="83">
        <f>_xlfn.IFNA(INDEX('Shultis Faw'!$D$2:$D$26,MATCH($C759,'Shultis Faw'!$A$2:$A$26,1))+($C759-INDEX('Shultis Faw'!$A$2:$A$26,MATCH($C759,'Shultis Faw'!$A$2:$A$26,1)))*(INDEX('Shultis Faw'!$D$2:$D$26,MATCH($C759,'Shultis Faw'!$A$2:$A$26,1)+1)-INDEX('Shultis Faw'!$D$2:$D$26,MATCH($C759,'Shultis Faw'!$A$2:$A$26,1)))/(INDEX('Shultis Faw'!$A$2:$A$26,MATCH($C759,'Shultis Faw'!$A$2:$A$26,1)+1)-INDEX('Shultis Faw'!$A$2:$A$26,MATCH($C759,'Shultis Faw'!$A$2:$A$26,1))),$C759*'Shultis Faw'!$D$2/'Shultis Faw'!$A$2)</f>
        <v>2.1258575999999998</v>
      </c>
      <c r="K759" s="83">
        <f>_xlfn.IFNA(INDEX('Shultis Faw'!$B$2:$B$26,MATCH($C759,'Shultis Faw'!$A$2:$A$26,1))+($C759-INDEX('Shultis Faw'!$A$2:$A$26,MATCH($C759,'Shultis Faw'!$A$2:$A$26,1)))*(INDEX('Shultis Faw'!$B$2:$B$26,MATCH($C759,'Shultis Faw'!$A$2:$A$26,1)+1)-INDEX('Shultis Faw'!$B$2:$B$26,MATCH($C759,'Shultis Faw'!$A$2:$A$26,1)))/(INDEX('Shultis Faw'!$A$2:$A$26,MATCH($C759,'Shultis Faw'!$A$2:$A$26,1)+1)-INDEX('Shultis Faw'!$A$2:$A$26,MATCH($C759,'Shultis Faw'!$A$2:$A$26,1))),$C759*'Shultis Faw'!$B$2/'Shultis Faw'!$A$2)</f>
        <v>-0.1734416</v>
      </c>
      <c r="L759" s="83">
        <f>_xlfn.IFNA(INDEX('Shultis Faw'!$E$2:$E$26,MATCH($C759,'Shultis Faw'!$A$2:$A$26,1))+($C759-INDEX('Shultis Faw'!$A$2:$A$26,MATCH($C759,'Shultis Faw'!$A$2:$A$26,1)))*(INDEX('Shultis Faw'!$E$2:$E$26,MATCH($C759,'Shultis Faw'!$A$2:$A$26,1)+1)-INDEX('Shultis Faw'!$E$2:$E$26,MATCH($C759,'Shultis Faw'!$A$2:$A$26,1)))/(INDEX('Shultis Faw'!$A$2:$A$26,MATCH($C759,'Shultis Faw'!$A$2:$A$26,1)+1)-INDEX('Shultis Faw'!$A$2:$A$26,MATCH($C759,'Shultis Faw'!$A$2:$A$26,1))),$C759*'Shultis Faw'!$E$2/'Shultis Faw'!$A$2)</f>
        <v>7.4862919999999999E-2</v>
      </c>
      <c r="M759" s="83">
        <f>_xlfn.IFNA(INDEX('Shultis Faw'!$F$2:$F$26,MATCH($C759,'Shultis Faw'!$A$2:$A$26,1))+($C759-INDEX('Shultis Faw'!$A$2:$A$26,MATCH($C759,'Shultis Faw'!$A$2:$A$26,1)))*(INDEX('Shultis Faw'!$F$2:$F$26,MATCH($C759,'Shultis Faw'!$A$2:$A$26,1)+1)-INDEX('Shultis Faw'!$F$2:$F$26,MATCH($C759,'Shultis Faw'!$A$2:$A$26,1)))/(INDEX('Shultis Faw'!$A$2:$A$26,MATCH($C759,'Shultis Faw'!$A$2:$A$26,1)+1)-INDEX('Shultis Faw'!$A$2:$A$26,MATCH($C759,'Shultis Faw'!$A$2:$A$26,1))),$C759*'Shultis Faw'!$F$2/'Shultis Faw'!$A$2)</f>
        <v>14.438172</v>
      </c>
      <c r="N759" s="83">
        <f>J759*(H759*'Externe blootstelling'!$D$23/2)^K759+L759*(TANH(((H759*'Externe blootstelling'!$D$23)/(2*M759))-2)-TANH(-2))/(1-TANH(-2))</f>
        <v>1.8870876023719392</v>
      </c>
      <c r="O759" s="83">
        <f>IF(N759=1,1+(I759-1)*H759*'Externe blootstelling'!$D$23/2,1+(I759-1)*(N759^(H759*'Externe blootstelling'!$D$23/2)-1)/(N759-1))</f>
        <v>7.7517974127288518</v>
      </c>
      <c r="P759" s="67">
        <f>G759*EXP(-H759*'Externe blootstelling'!$D$23/2)*O759</f>
        <v>4.2287535329483546E-4</v>
      </c>
      <c r="Q759" s="68"/>
    </row>
    <row r="760" spans="1:17" x14ac:dyDescent="0.2">
      <c r="A760" s="220"/>
      <c r="B760" s="64" t="s">
        <v>104</v>
      </c>
      <c r="C760" s="66">
        <v>0.24719999999999998</v>
      </c>
      <c r="D760" s="66">
        <f t="shared" si="49"/>
        <v>3.9551999999999993E-14</v>
      </c>
      <c r="E760" s="66">
        <v>9.7E-5</v>
      </c>
      <c r="F760" s="66">
        <f>_xlfn.IFNA(INDEX('hp (pSv cm2)'!$B$2:$B$52,MATCH($C760,'hp (pSv cm2)'!$A$2:$A$52,1))+($C760-INDEX('hp (pSv cm2)'!$A$2:$A$52,MATCH($C760,'hp (pSv cm2)'!$A$2:$A$52,1)))*(INDEX('hp (pSv cm2)'!$B$2:$B$52,MATCH($C760,'hp (pSv cm2)'!$A$2:$A$52,1)+1)-INDEX('hp (pSv cm2)'!$B$2:$B$52,MATCH($C760,'hp (pSv cm2)'!$A$2:$A$52,1)))/(INDEX('hp (pSv cm2)'!$A$2:$A$52,MATCH($C760,'hp (pSv cm2)'!$A$2:$A$52,1)+1)-INDEX('hp (pSv cm2)'!$A$2:$A$52,MATCH($C760,'hp (pSv cm2)'!$A$2:$A$52,1))),$C760*'hp (pSv cm2)'!$B$2/'hp (pSv cm2)'!$A$2)</f>
        <v>1.2407199999999998</v>
      </c>
      <c r="G760" s="67">
        <f t="shared" si="50"/>
        <v>1.2034983999999999E-4</v>
      </c>
      <c r="H760" s="83">
        <f>_xlfn.IFNA(0.997*(INDEX('Mass attenuation coefficients'!$B$2:$B$37,MATCH($C760,'Mass attenuation coefficients'!$A$2:$A$37,1))+($C760-INDEX('Mass attenuation coefficients'!$A$2:$A$37,MATCH($C760,'Mass attenuation coefficients'!$A$2:$A$37,1)))*(INDEX('Mass attenuation coefficients'!$B$2:$B$37,MATCH($C760,'Mass attenuation coefficients'!$A$2:$A$37,1)+1)-INDEX('Mass attenuation coefficients'!$B$2:$B$37,MATCH($C760,'Mass attenuation coefficients'!$A$2:$A$37,1)))/(INDEX('Mass attenuation coefficients'!$A$2:$A$37,MATCH($C760,'Mass attenuation coefficients'!$A$2:$A$37,1)+1)-INDEX('Mass attenuation coefficients'!$A$2:$A$37,MATCH($C760,'Mass attenuation coefficients'!$A$2:$A$37,1)))),0.997*$C760*'Mass attenuation coefficients'!$B$2/'Mass attenuation coefficients'!$A$2)</f>
        <v>0.12793025440000003</v>
      </c>
      <c r="I760" s="83">
        <f>_xlfn.IFNA(INDEX('Shultis Faw'!$C$2:$C$26,MATCH($C760,'Shultis Faw'!$A$2:$A$26,1))+($C760-INDEX('Shultis Faw'!$A$2:$A$26,MATCH($C760,'Shultis Faw'!$A$2:$A$26,1)))*(INDEX('Shultis Faw'!$C$2:$C$26,MATCH($C760,'Shultis Faw'!$A$2:$A$26,1)+1)-INDEX('Shultis Faw'!$C$2:$C$26,MATCH($C760,'Shultis Faw'!$A$2:$A$26,1)))/(INDEX('Shultis Faw'!$A$2:$A$26,MATCH($C760,'Shultis Faw'!$A$2:$A$26,1)+1)-INDEX('Shultis Faw'!$A$2:$A$26,MATCH($C760,'Shultis Faw'!$A$2:$A$26,1))),$C760*'Shultis Faw'!$C$2/'Shultis Faw'!$A$2)</f>
        <v>3.2146240000000001</v>
      </c>
      <c r="J760" s="83">
        <f>_xlfn.IFNA(INDEX('Shultis Faw'!$D$2:$D$26,MATCH($C760,'Shultis Faw'!$A$2:$A$26,1))+($C760-INDEX('Shultis Faw'!$A$2:$A$26,MATCH($C760,'Shultis Faw'!$A$2:$A$26,1)))*(INDEX('Shultis Faw'!$D$2:$D$26,MATCH($C760,'Shultis Faw'!$A$2:$A$26,1)+1)-INDEX('Shultis Faw'!$D$2:$D$26,MATCH($C760,'Shultis Faw'!$A$2:$A$26,1)))/(INDEX('Shultis Faw'!$A$2:$A$26,MATCH($C760,'Shultis Faw'!$A$2:$A$26,1)+1)-INDEX('Shultis Faw'!$A$2:$A$26,MATCH($C760,'Shultis Faw'!$A$2:$A$26,1))),$C760*'Shultis Faw'!$D$2/'Shultis Faw'!$A$2)</f>
        <v>2.0916959999999998</v>
      </c>
      <c r="K760" s="83">
        <f>_xlfn.IFNA(INDEX('Shultis Faw'!$B$2:$B$26,MATCH($C760,'Shultis Faw'!$A$2:$A$26,1))+($C760-INDEX('Shultis Faw'!$A$2:$A$26,MATCH($C760,'Shultis Faw'!$A$2:$A$26,1)))*(INDEX('Shultis Faw'!$B$2:$B$26,MATCH($C760,'Shultis Faw'!$A$2:$A$26,1)+1)-INDEX('Shultis Faw'!$B$2:$B$26,MATCH($C760,'Shultis Faw'!$A$2:$A$26,1)))/(INDEX('Shultis Faw'!$A$2:$A$26,MATCH($C760,'Shultis Faw'!$A$2:$A$26,1)+1)-INDEX('Shultis Faw'!$A$2:$A$26,MATCH($C760,'Shultis Faw'!$A$2:$A$26,1))),$C760*'Shultis Faw'!$B$2/'Shultis Faw'!$A$2)</f>
        <v>-0.17033599999999999</v>
      </c>
      <c r="L760" s="83">
        <f>_xlfn.IFNA(INDEX('Shultis Faw'!$E$2:$E$26,MATCH($C760,'Shultis Faw'!$A$2:$A$26,1))+($C760-INDEX('Shultis Faw'!$A$2:$A$26,MATCH($C760,'Shultis Faw'!$A$2:$A$26,1)))*(INDEX('Shultis Faw'!$E$2:$E$26,MATCH($C760,'Shultis Faw'!$A$2:$A$26,1)+1)-INDEX('Shultis Faw'!$E$2:$E$26,MATCH($C760,'Shultis Faw'!$A$2:$A$26,1)))/(INDEX('Shultis Faw'!$A$2:$A$26,MATCH($C760,'Shultis Faw'!$A$2:$A$26,1)+1)-INDEX('Shultis Faw'!$A$2:$A$26,MATCH($C760,'Shultis Faw'!$A$2:$A$26,1))),$C760*'Shultis Faw'!$E$2/'Shultis Faw'!$A$2)</f>
        <v>7.1783200000000005E-2</v>
      </c>
      <c r="M760" s="83">
        <f>_xlfn.IFNA(INDEX('Shultis Faw'!$F$2:$F$26,MATCH($C760,'Shultis Faw'!$A$2:$A$26,1))+($C760-INDEX('Shultis Faw'!$A$2:$A$26,MATCH($C760,'Shultis Faw'!$A$2:$A$26,1)))*(INDEX('Shultis Faw'!$F$2:$F$26,MATCH($C760,'Shultis Faw'!$A$2:$A$26,1)+1)-INDEX('Shultis Faw'!$F$2:$F$26,MATCH($C760,'Shultis Faw'!$A$2:$A$26,1)))/(INDEX('Shultis Faw'!$A$2:$A$26,MATCH($C760,'Shultis Faw'!$A$2:$A$26,1)+1)-INDEX('Shultis Faw'!$A$2:$A$26,MATCH($C760,'Shultis Faw'!$A$2:$A$26,1))),$C760*'Shultis Faw'!$F$2/'Shultis Faw'!$A$2)</f>
        <v>14.36312</v>
      </c>
      <c r="N760" s="83">
        <f>J760*(H760*'Externe blootstelling'!$D$23/2)^K760+L760*(TANH(((H760*'Externe blootstelling'!$D$23)/(2*M760))-2)-TANH(-2))/(1-TANH(-2))</f>
        <v>1.8722926348722362</v>
      </c>
      <c r="O760" s="83">
        <f>IF(N760=1,1+(I760-1)*H760*'Externe blootstelling'!$D$23/2,1+(I760-1)*(N760^(H760*'Externe blootstelling'!$D$23/2)-1)/(N760-1))</f>
        <v>6.9199776594167437</v>
      </c>
      <c r="P760" s="67">
        <f>G760*EXP(-H760*'Externe blootstelling'!$D$23/2)*O760</f>
        <v>1.2222474962529143E-4</v>
      </c>
      <c r="Q760" s="68"/>
    </row>
    <row r="761" spans="1:17" x14ac:dyDescent="0.2">
      <c r="A761" s="220"/>
      <c r="B761" s="64" t="s">
        <v>104</v>
      </c>
      <c r="C761" s="66">
        <v>0.24949000000000002</v>
      </c>
      <c r="D761" s="66">
        <f t="shared" si="49"/>
        <v>3.99184E-14</v>
      </c>
      <c r="E761" s="66">
        <v>3.7999999999999997E-4</v>
      </c>
      <c r="F761" s="66">
        <f>_xlfn.IFNA(INDEX('hp (pSv cm2)'!$B$2:$B$52,MATCH($C761,'hp (pSv cm2)'!$A$2:$A$52,1))+($C761-INDEX('hp (pSv cm2)'!$A$2:$A$52,MATCH($C761,'hp (pSv cm2)'!$A$2:$A$52,1)))*(INDEX('hp (pSv cm2)'!$B$2:$B$52,MATCH($C761,'hp (pSv cm2)'!$A$2:$A$52,1)+1)-INDEX('hp (pSv cm2)'!$B$2:$B$52,MATCH($C761,'hp (pSv cm2)'!$A$2:$A$52,1)))/(INDEX('hp (pSv cm2)'!$A$2:$A$52,MATCH($C761,'hp (pSv cm2)'!$A$2:$A$52,1)+1)-INDEX('hp (pSv cm2)'!$A$2:$A$52,MATCH($C761,'hp (pSv cm2)'!$A$2:$A$52,1))),$C761*'hp (pSv cm2)'!$B$2/'hp (pSv cm2)'!$A$2)</f>
        <v>1.252399</v>
      </c>
      <c r="G761" s="67">
        <f t="shared" ref="G761:G792" si="51">F761*E761</f>
        <v>4.7591161999999999E-4</v>
      </c>
      <c r="H761" s="83">
        <f>_xlfn.IFNA(0.997*(INDEX('Mass attenuation coefficients'!$B$2:$B$37,MATCH($C761,'Mass attenuation coefficients'!$A$2:$A$37,1))+($C761-INDEX('Mass attenuation coefficients'!$A$2:$A$37,MATCH($C761,'Mass attenuation coefficients'!$A$2:$A$37,1)))*(INDEX('Mass attenuation coefficients'!$B$2:$B$37,MATCH($C761,'Mass attenuation coefficients'!$A$2:$A$37,1)+1)-INDEX('Mass attenuation coefficients'!$B$2:$B$37,MATCH($C761,'Mass attenuation coefficients'!$A$2:$A$37,1)))/(INDEX('Mass attenuation coefficients'!$A$2:$A$37,MATCH($C761,'Mass attenuation coefficients'!$A$2:$A$37,1)+1)-INDEX('Mass attenuation coefficients'!$A$2:$A$37,MATCH($C761,'Mass attenuation coefficients'!$A$2:$A$37,1)))),0.997*$C761*'Mass attenuation coefficients'!$B$2/'Mass attenuation coefficients'!$A$2)</f>
        <v>0.12751015848</v>
      </c>
      <c r="I761" s="83">
        <f>_xlfn.IFNA(INDEX('Shultis Faw'!$C$2:$C$26,MATCH($C761,'Shultis Faw'!$A$2:$A$26,1))+($C761-INDEX('Shultis Faw'!$A$2:$A$26,MATCH($C761,'Shultis Faw'!$A$2:$A$26,1)))*(INDEX('Shultis Faw'!$C$2:$C$26,MATCH($C761,'Shultis Faw'!$A$2:$A$26,1)+1)-INDEX('Shultis Faw'!$C$2:$C$26,MATCH($C761,'Shultis Faw'!$A$2:$A$26,1)))/(INDEX('Shultis Faw'!$A$2:$A$26,MATCH($C761,'Shultis Faw'!$A$2:$A$26,1)+1)-INDEX('Shultis Faw'!$A$2:$A$26,MATCH($C761,'Shultis Faw'!$A$2:$A$26,1))),$C761*'Shultis Faw'!$C$2/'Shultis Faw'!$A$2)</f>
        <v>3.2018458000000001</v>
      </c>
      <c r="J761" s="83">
        <f>_xlfn.IFNA(INDEX('Shultis Faw'!$D$2:$D$26,MATCH($C761,'Shultis Faw'!$A$2:$A$26,1))+($C761-INDEX('Shultis Faw'!$A$2:$A$26,MATCH($C761,'Shultis Faw'!$A$2:$A$26,1)))*(INDEX('Shultis Faw'!$D$2:$D$26,MATCH($C761,'Shultis Faw'!$A$2:$A$26,1)+1)-INDEX('Shultis Faw'!$D$2:$D$26,MATCH($C761,'Shultis Faw'!$A$2:$A$26,1)))/(INDEX('Shultis Faw'!$A$2:$A$26,MATCH($C761,'Shultis Faw'!$A$2:$A$26,1)+1)-INDEX('Shultis Faw'!$A$2:$A$26,MATCH($C761,'Shultis Faw'!$A$2:$A$26,1))),$C761*'Shultis Faw'!$D$2/'Shultis Faw'!$A$2)</f>
        <v>2.0886731999999997</v>
      </c>
      <c r="K761" s="83">
        <f>_xlfn.IFNA(INDEX('Shultis Faw'!$B$2:$B$26,MATCH($C761,'Shultis Faw'!$A$2:$A$26,1))+($C761-INDEX('Shultis Faw'!$A$2:$A$26,MATCH($C761,'Shultis Faw'!$A$2:$A$26,1)))*(INDEX('Shultis Faw'!$B$2:$B$26,MATCH($C761,'Shultis Faw'!$A$2:$A$26,1)+1)-INDEX('Shultis Faw'!$B$2:$B$26,MATCH($C761,'Shultis Faw'!$A$2:$A$26,1)))/(INDEX('Shultis Faw'!$A$2:$A$26,MATCH($C761,'Shultis Faw'!$A$2:$A$26,1)+1)-INDEX('Shultis Faw'!$A$2:$A$26,MATCH($C761,'Shultis Faw'!$A$2:$A$26,1))),$C761*'Shultis Faw'!$B$2/'Shultis Faw'!$A$2)</f>
        <v>-0.1700612</v>
      </c>
      <c r="L761" s="83">
        <f>_xlfn.IFNA(INDEX('Shultis Faw'!$E$2:$E$26,MATCH($C761,'Shultis Faw'!$A$2:$A$26,1))+($C761-INDEX('Shultis Faw'!$A$2:$A$26,MATCH($C761,'Shultis Faw'!$A$2:$A$26,1)))*(INDEX('Shultis Faw'!$E$2:$E$26,MATCH($C761,'Shultis Faw'!$A$2:$A$26,1)+1)-INDEX('Shultis Faw'!$E$2:$E$26,MATCH($C761,'Shultis Faw'!$A$2:$A$26,1)))/(INDEX('Shultis Faw'!$A$2:$A$26,MATCH($C761,'Shultis Faw'!$A$2:$A$26,1)+1)-INDEX('Shultis Faw'!$A$2:$A$26,MATCH($C761,'Shultis Faw'!$A$2:$A$26,1))),$C761*'Shultis Faw'!$E$2/'Shultis Faw'!$A$2)</f>
        <v>7.1510690000000002E-2</v>
      </c>
      <c r="M761" s="83">
        <f>_xlfn.IFNA(INDEX('Shultis Faw'!$F$2:$F$26,MATCH($C761,'Shultis Faw'!$A$2:$A$26,1))+($C761-INDEX('Shultis Faw'!$A$2:$A$26,MATCH($C761,'Shultis Faw'!$A$2:$A$26,1)))*(INDEX('Shultis Faw'!$F$2:$F$26,MATCH($C761,'Shultis Faw'!$A$2:$A$26,1)+1)-INDEX('Shultis Faw'!$F$2:$F$26,MATCH($C761,'Shultis Faw'!$A$2:$A$26,1)))/(INDEX('Shultis Faw'!$A$2:$A$26,MATCH($C761,'Shultis Faw'!$A$2:$A$26,1)+1)-INDEX('Shultis Faw'!$A$2:$A$26,MATCH($C761,'Shultis Faw'!$A$2:$A$26,1))),$C761*'Shultis Faw'!$F$2/'Shultis Faw'!$A$2)</f>
        <v>14.356479</v>
      </c>
      <c r="N761" s="83">
        <f>J761*(H761*'Externe blootstelling'!$D$23/2)^K761+L761*(TANH(((H761*'Externe blootstelling'!$D$23)/(2*M761))-2)-TANH(-2))/(1-TANH(-2))</f>
        <v>1.8709655859124446</v>
      </c>
      <c r="O761" s="83">
        <f>IF(N761=1,1+(I761-1)*H761*'Externe blootstelling'!$D$23/2,1+(I761-1)*(N761^(H761*'Externe blootstelling'!$D$23/2)-1)/(N761-1))</f>
        <v>6.8501964109484117</v>
      </c>
      <c r="P761" s="67">
        <f>G761*EXP(-H761*'Externe blootstelling'!$D$23/2)*O761</f>
        <v>4.814763499168307E-4</v>
      </c>
      <c r="Q761" s="68"/>
    </row>
    <row r="762" spans="1:17" x14ac:dyDescent="0.2">
      <c r="A762" s="220"/>
      <c r="B762" s="64" t="s">
        <v>104</v>
      </c>
      <c r="C762" s="66">
        <v>0.25159999999999999</v>
      </c>
      <c r="D762" s="66">
        <f t="shared" si="49"/>
        <v>4.0255999999999998E-14</v>
      </c>
      <c r="E762" s="66">
        <v>5.5000000000000003E-4</v>
      </c>
      <c r="F762" s="66">
        <f>_xlfn.IFNA(INDEX('hp (pSv cm2)'!$B$2:$B$52,MATCH($C762,'hp (pSv cm2)'!$A$2:$A$52,1))+($C762-INDEX('hp (pSv cm2)'!$A$2:$A$52,MATCH($C762,'hp (pSv cm2)'!$A$2:$A$52,1)))*(INDEX('hp (pSv cm2)'!$B$2:$B$52,MATCH($C762,'hp (pSv cm2)'!$A$2:$A$52,1)+1)-INDEX('hp (pSv cm2)'!$B$2:$B$52,MATCH($C762,'hp (pSv cm2)'!$A$2:$A$52,1)))/(INDEX('hp (pSv cm2)'!$A$2:$A$52,MATCH($C762,'hp (pSv cm2)'!$A$2:$A$52,1)+1)-INDEX('hp (pSv cm2)'!$A$2:$A$52,MATCH($C762,'hp (pSv cm2)'!$A$2:$A$52,1))),$C762*'hp (pSv cm2)'!$B$2/'hp (pSv cm2)'!$A$2)</f>
        <v>1.2631600000000001</v>
      </c>
      <c r="G762" s="67">
        <f t="shared" si="51"/>
        <v>6.9473800000000008E-4</v>
      </c>
      <c r="H762" s="83">
        <f>_xlfn.IFNA(0.997*(INDEX('Mass attenuation coefficients'!$B$2:$B$37,MATCH($C762,'Mass attenuation coefficients'!$A$2:$A$37,1))+($C762-INDEX('Mass attenuation coefficients'!$A$2:$A$37,MATCH($C762,'Mass attenuation coefficients'!$A$2:$A$37,1)))*(INDEX('Mass attenuation coefficients'!$B$2:$B$37,MATCH($C762,'Mass attenuation coefficients'!$A$2:$A$37,1)+1)-INDEX('Mass attenuation coefficients'!$B$2:$B$37,MATCH($C762,'Mass attenuation coefficients'!$A$2:$A$37,1)))/(INDEX('Mass attenuation coefficients'!$A$2:$A$37,MATCH($C762,'Mass attenuation coefficients'!$A$2:$A$37,1)+1)-INDEX('Mass attenuation coefficients'!$A$2:$A$37,MATCH($C762,'Mass attenuation coefficients'!$A$2:$A$37,1)))),0.997*$C762*'Mass attenuation coefficients'!$B$2/'Mass attenuation coefficients'!$A$2)</f>
        <v>0.12712308319999999</v>
      </c>
      <c r="I762" s="83">
        <f>_xlfn.IFNA(INDEX('Shultis Faw'!$C$2:$C$26,MATCH($C762,'Shultis Faw'!$A$2:$A$26,1))+($C762-INDEX('Shultis Faw'!$A$2:$A$26,MATCH($C762,'Shultis Faw'!$A$2:$A$26,1)))*(INDEX('Shultis Faw'!$C$2:$C$26,MATCH($C762,'Shultis Faw'!$A$2:$A$26,1)+1)-INDEX('Shultis Faw'!$C$2:$C$26,MATCH($C762,'Shultis Faw'!$A$2:$A$26,1)))/(INDEX('Shultis Faw'!$A$2:$A$26,MATCH($C762,'Shultis Faw'!$A$2:$A$26,1)+1)-INDEX('Shultis Faw'!$A$2:$A$26,MATCH($C762,'Shultis Faw'!$A$2:$A$26,1))),$C762*'Shultis Faw'!$C$2/'Shultis Faw'!$A$2)</f>
        <v>3.1900720000000002</v>
      </c>
      <c r="J762" s="83">
        <f>_xlfn.IFNA(INDEX('Shultis Faw'!$D$2:$D$26,MATCH($C762,'Shultis Faw'!$A$2:$A$26,1))+($C762-INDEX('Shultis Faw'!$A$2:$A$26,MATCH($C762,'Shultis Faw'!$A$2:$A$26,1)))*(INDEX('Shultis Faw'!$D$2:$D$26,MATCH($C762,'Shultis Faw'!$A$2:$A$26,1)+1)-INDEX('Shultis Faw'!$D$2:$D$26,MATCH($C762,'Shultis Faw'!$A$2:$A$26,1)))/(INDEX('Shultis Faw'!$A$2:$A$26,MATCH($C762,'Shultis Faw'!$A$2:$A$26,1)+1)-INDEX('Shultis Faw'!$A$2:$A$26,MATCH($C762,'Shultis Faw'!$A$2:$A$26,1))),$C762*'Shultis Faw'!$D$2/'Shultis Faw'!$A$2)</f>
        <v>2.0858879999999997</v>
      </c>
      <c r="K762" s="83">
        <f>_xlfn.IFNA(INDEX('Shultis Faw'!$B$2:$B$26,MATCH($C762,'Shultis Faw'!$A$2:$A$26,1))+($C762-INDEX('Shultis Faw'!$A$2:$A$26,MATCH($C762,'Shultis Faw'!$A$2:$A$26,1)))*(INDEX('Shultis Faw'!$B$2:$B$26,MATCH($C762,'Shultis Faw'!$A$2:$A$26,1)+1)-INDEX('Shultis Faw'!$B$2:$B$26,MATCH($C762,'Shultis Faw'!$A$2:$A$26,1)))/(INDEX('Shultis Faw'!$A$2:$A$26,MATCH($C762,'Shultis Faw'!$A$2:$A$26,1)+1)-INDEX('Shultis Faw'!$A$2:$A$26,MATCH($C762,'Shultis Faw'!$A$2:$A$26,1))),$C762*'Shultis Faw'!$B$2/'Shultis Faw'!$A$2)</f>
        <v>-0.16980799999999999</v>
      </c>
      <c r="L762" s="83">
        <f>_xlfn.IFNA(INDEX('Shultis Faw'!$E$2:$E$26,MATCH($C762,'Shultis Faw'!$A$2:$A$26,1))+($C762-INDEX('Shultis Faw'!$A$2:$A$26,MATCH($C762,'Shultis Faw'!$A$2:$A$26,1)))*(INDEX('Shultis Faw'!$E$2:$E$26,MATCH($C762,'Shultis Faw'!$A$2:$A$26,1)+1)-INDEX('Shultis Faw'!$E$2:$E$26,MATCH($C762,'Shultis Faw'!$A$2:$A$26,1)))/(INDEX('Shultis Faw'!$A$2:$A$26,MATCH($C762,'Shultis Faw'!$A$2:$A$26,1)+1)-INDEX('Shultis Faw'!$A$2:$A$26,MATCH($C762,'Shultis Faw'!$A$2:$A$26,1))),$C762*'Shultis Faw'!$E$2/'Shultis Faw'!$A$2)</f>
        <v>7.1259600000000006E-2</v>
      </c>
      <c r="M762" s="83">
        <f>_xlfn.IFNA(INDEX('Shultis Faw'!$F$2:$F$26,MATCH($C762,'Shultis Faw'!$A$2:$A$26,1))+($C762-INDEX('Shultis Faw'!$A$2:$A$26,MATCH($C762,'Shultis Faw'!$A$2:$A$26,1)))*(INDEX('Shultis Faw'!$F$2:$F$26,MATCH($C762,'Shultis Faw'!$A$2:$A$26,1)+1)-INDEX('Shultis Faw'!$F$2:$F$26,MATCH($C762,'Shultis Faw'!$A$2:$A$26,1)))/(INDEX('Shultis Faw'!$A$2:$A$26,MATCH($C762,'Shultis Faw'!$A$2:$A$26,1)+1)-INDEX('Shultis Faw'!$A$2:$A$26,MATCH($C762,'Shultis Faw'!$A$2:$A$26,1))),$C762*'Shultis Faw'!$F$2/'Shultis Faw'!$A$2)</f>
        <v>14.35036</v>
      </c>
      <c r="N762" s="83">
        <f>J762*(H762*'Externe blootstelling'!$D$23/2)^K762+L762*(TANH(((H762*'Externe blootstelling'!$D$23)/(2*M762))-2)-TANH(-2))/(1-TANH(-2))</f>
        <v>1.8697402766224409</v>
      </c>
      <c r="O762" s="83">
        <f>IF(N762=1,1+(I762-1)*H762*'Externe blootstelling'!$D$23/2,1+(I762-1)*(N762^(H762*'Externe blootstelling'!$D$23/2)-1)/(N762-1))</f>
        <v>6.7864325800776477</v>
      </c>
      <c r="P762" s="67">
        <f>G762*EXP(-H762*'Externe blootstelling'!$D$23/2)*O762</f>
        <v>7.0037363600503565E-4</v>
      </c>
      <c r="Q762" s="68"/>
    </row>
    <row r="763" spans="1:17" x14ac:dyDescent="0.2">
      <c r="A763" s="220"/>
      <c r="B763" s="64" t="s">
        <v>104</v>
      </c>
      <c r="C763" s="66">
        <v>0.25519999999999998</v>
      </c>
      <c r="D763" s="66">
        <f t="shared" si="49"/>
        <v>4.0831999999999995E-14</v>
      </c>
      <c r="E763" s="66">
        <v>4.8000000000000001E-4</v>
      </c>
      <c r="F763" s="66">
        <f>_xlfn.IFNA(INDEX('hp (pSv cm2)'!$B$2:$B$52,MATCH($C763,'hp (pSv cm2)'!$A$2:$A$52,1))+($C763-INDEX('hp (pSv cm2)'!$A$2:$A$52,MATCH($C763,'hp (pSv cm2)'!$A$2:$A$52,1)))*(INDEX('hp (pSv cm2)'!$B$2:$B$52,MATCH($C763,'hp (pSv cm2)'!$A$2:$A$52,1)+1)-INDEX('hp (pSv cm2)'!$B$2:$B$52,MATCH($C763,'hp (pSv cm2)'!$A$2:$A$52,1)))/(INDEX('hp (pSv cm2)'!$A$2:$A$52,MATCH($C763,'hp (pSv cm2)'!$A$2:$A$52,1)+1)-INDEX('hp (pSv cm2)'!$A$2:$A$52,MATCH($C763,'hp (pSv cm2)'!$A$2:$A$52,1))),$C763*'hp (pSv cm2)'!$B$2/'hp (pSv cm2)'!$A$2)</f>
        <v>1.28152</v>
      </c>
      <c r="G763" s="67">
        <f t="shared" si="51"/>
        <v>6.1512960000000005E-4</v>
      </c>
      <c r="H763" s="83">
        <f>_xlfn.IFNA(0.997*(INDEX('Mass attenuation coefficients'!$B$2:$B$37,MATCH($C763,'Mass attenuation coefficients'!$A$2:$A$37,1))+($C763-INDEX('Mass attenuation coefficients'!$A$2:$A$37,MATCH($C763,'Mass attenuation coefficients'!$A$2:$A$37,1)))*(INDEX('Mass attenuation coefficients'!$B$2:$B$37,MATCH($C763,'Mass attenuation coefficients'!$A$2:$A$37,1)+1)-INDEX('Mass attenuation coefficients'!$B$2:$B$37,MATCH($C763,'Mass attenuation coefficients'!$A$2:$A$37,1)))/(INDEX('Mass attenuation coefficients'!$A$2:$A$37,MATCH($C763,'Mass attenuation coefficients'!$A$2:$A$37,1)+1)-INDEX('Mass attenuation coefficients'!$A$2:$A$37,MATCH($C763,'Mass attenuation coefficients'!$A$2:$A$37,1)))),0.997*$C763*'Mass attenuation coefficients'!$B$2/'Mass attenuation coefficients'!$A$2)</f>
        <v>0.1264626704</v>
      </c>
      <c r="I763" s="83">
        <f>_xlfn.IFNA(INDEX('Shultis Faw'!$C$2:$C$26,MATCH($C763,'Shultis Faw'!$A$2:$A$26,1))+($C763-INDEX('Shultis Faw'!$A$2:$A$26,MATCH($C763,'Shultis Faw'!$A$2:$A$26,1)))*(INDEX('Shultis Faw'!$C$2:$C$26,MATCH($C763,'Shultis Faw'!$A$2:$A$26,1)+1)-INDEX('Shultis Faw'!$C$2:$C$26,MATCH($C763,'Shultis Faw'!$A$2:$A$26,1)))/(INDEX('Shultis Faw'!$A$2:$A$26,MATCH($C763,'Shultis Faw'!$A$2:$A$26,1)+1)-INDEX('Shultis Faw'!$A$2:$A$26,MATCH($C763,'Shultis Faw'!$A$2:$A$26,1))),$C763*'Shultis Faw'!$C$2/'Shultis Faw'!$A$2)</f>
        <v>3.1699840000000004</v>
      </c>
      <c r="J763" s="83">
        <f>_xlfn.IFNA(INDEX('Shultis Faw'!$D$2:$D$26,MATCH($C763,'Shultis Faw'!$A$2:$A$26,1))+($C763-INDEX('Shultis Faw'!$A$2:$A$26,MATCH($C763,'Shultis Faw'!$A$2:$A$26,1)))*(INDEX('Shultis Faw'!$D$2:$D$26,MATCH($C763,'Shultis Faw'!$A$2:$A$26,1)+1)-INDEX('Shultis Faw'!$D$2:$D$26,MATCH($C763,'Shultis Faw'!$A$2:$A$26,1)))/(INDEX('Shultis Faw'!$A$2:$A$26,MATCH($C763,'Shultis Faw'!$A$2:$A$26,1)+1)-INDEX('Shultis Faw'!$A$2:$A$26,MATCH($C763,'Shultis Faw'!$A$2:$A$26,1))),$C763*'Shultis Faw'!$D$2/'Shultis Faw'!$A$2)</f>
        <v>2.0811359999999999</v>
      </c>
      <c r="K763" s="83">
        <f>_xlfn.IFNA(INDEX('Shultis Faw'!$B$2:$B$26,MATCH($C763,'Shultis Faw'!$A$2:$A$26,1))+($C763-INDEX('Shultis Faw'!$A$2:$A$26,MATCH($C763,'Shultis Faw'!$A$2:$A$26,1)))*(INDEX('Shultis Faw'!$B$2:$B$26,MATCH($C763,'Shultis Faw'!$A$2:$A$26,1)+1)-INDEX('Shultis Faw'!$B$2:$B$26,MATCH($C763,'Shultis Faw'!$A$2:$A$26,1)))/(INDEX('Shultis Faw'!$A$2:$A$26,MATCH($C763,'Shultis Faw'!$A$2:$A$26,1)+1)-INDEX('Shultis Faw'!$A$2:$A$26,MATCH($C763,'Shultis Faw'!$A$2:$A$26,1))),$C763*'Shultis Faw'!$B$2/'Shultis Faw'!$A$2)</f>
        <v>-0.169376</v>
      </c>
      <c r="L763" s="83">
        <f>_xlfn.IFNA(INDEX('Shultis Faw'!$E$2:$E$26,MATCH($C763,'Shultis Faw'!$A$2:$A$26,1))+($C763-INDEX('Shultis Faw'!$A$2:$A$26,MATCH($C763,'Shultis Faw'!$A$2:$A$26,1)))*(INDEX('Shultis Faw'!$E$2:$E$26,MATCH($C763,'Shultis Faw'!$A$2:$A$26,1)+1)-INDEX('Shultis Faw'!$E$2:$E$26,MATCH($C763,'Shultis Faw'!$A$2:$A$26,1)))/(INDEX('Shultis Faw'!$A$2:$A$26,MATCH($C763,'Shultis Faw'!$A$2:$A$26,1)+1)-INDEX('Shultis Faw'!$A$2:$A$26,MATCH($C763,'Shultis Faw'!$A$2:$A$26,1))),$C763*'Shultis Faw'!$E$2/'Shultis Faw'!$A$2)</f>
        <v>7.0831199999999997E-2</v>
      </c>
      <c r="M763" s="83">
        <f>_xlfn.IFNA(INDEX('Shultis Faw'!$F$2:$F$26,MATCH($C763,'Shultis Faw'!$A$2:$A$26,1))+($C763-INDEX('Shultis Faw'!$A$2:$A$26,MATCH($C763,'Shultis Faw'!$A$2:$A$26,1)))*(INDEX('Shultis Faw'!$F$2:$F$26,MATCH($C763,'Shultis Faw'!$A$2:$A$26,1)+1)-INDEX('Shultis Faw'!$F$2:$F$26,MATCH($C763,'Shultis Faw'!$A$2:$A$26,1)))/(INDEX('Shultis Faw'!$A$2:$A$26,MATCH($C763,'Shultis Faw'!$A$2:$A$26,1)+1)-INDEX('Shultis Faw'!$A$2:$A$26,MATCH($C763,'Shultis Faw'!$A$2:$A$26,1))),$C763*'Shultis Faw'!$F$2/'Shultis Faw'!$A$2)</f>
        <v>14.339920000000001</v>
      </c>
      <c r="N763" s="83">
        <f>J763*(H763*'Externe blootstelling'!$D$23/2)^K763+L763*(TANH(((H763*'Externe blootstelling'!$D$23)/(2*M763))-2)-TANH(-2))/(1-TANH(-2))</f>
        <v>1.8676440166329393</v>
      </c>
      <c r="O763" s="83">
        <f>IF(N763=1,1+(I763-1)*H763*'Externe blootstelling'!$D$23/2,1+(I763-1)*(N763^(H763*'Externe blootstelling'!$D$23/2)-1)/(N763-1))</f>
        <v>6.678809997700637</v>
      </c>
      <c r="P763" s="67">
        <f>G763*EXP(-H763*'Externe blootstelling'!$D$23/2)*O763</f>
        <v>6.1636094951662552E-4</v>
      </c>
      <c r="Q763" s="68"/>
    </row>
    <row r="764" spans="1:17" x14ac:dyDescent="0.2">
      <c r="A764" s="220"/>
      <c r="B764" s="64" t="s">
        <v>104</v>
      </c>
      <c r="C764" s="66">
        <v>0.25569999999999998</v>
      </c>
      <c r="D764" s="66">
        <f t="shared" si="49"/>
        <v>4.0911999999999993E-14</v>
      </c>
      <c r="E764" s="66">
        <v>5.4999999999999995E-5</v>
      </c>
      <c r="F764" s="66">
        <f>_xlfn.IFNA(INDEX('hp (pSv cm2)'!$B$2:$B$52,MATCH($C764,'hp (pSv cm2)'!$A$2:$A$52,1))+($C764-INDEX('hp (pSv cm2)'!$A$2:$A$52,MATCH($C764,'hp (pSv cm2)'!$A$2:$A$52,1)))*(INDEX('hp (pSv cm2)'!$B$2:$B$52,MATCH($C764,'hp (pSv cm2)'!$A$2:$A$52,1)+1)-INDEX('hp (pSv cm2)'!$B$2:$B$52,MATCH($C764,'hp (pSv cm2)'!$A$2:$A$52,1)))/(INDEX('hp (pSv cm2)'!$A$2:$A$52,MATCH($C764,'hp (pSv cm2)'!$A$2:$A$52,1)+1)-INDEX('hp (pSv cm2)'!$A$2:$A$52,MATCH($C764,'hp (pSv cm2)'!$A$2:$A$52,1))),$C764*'hp (pSv cm2)'!$B$2/'hp (pSv cm2)'!$A$2)</f>
        <v>1.2840699999999998</v>
      </c>
      <c r="G764" s="67">
        <f t="shared" si="51"/>
        <v>7.0623849999999983E-5</v>
      </c>
      <c r="H764" s="83">
        <f>_xlfn.IFNA(0.997*(INDEX('Mass attenuation coefficients'!$B$2:$B$37,MATCH($C764,'Mass attenuation coefficients'!$A$2:$A$37,1))+($C764-INDEX('Mass attenuation coefficients'!$A$2:$A$37,MATCH($C764,'Mass attenuation coefficients'!$A$2:$A$37,1)))*(INDEX('Mass attenuation coefficients'!$B$2:$B$37,MATCH($C764,'Mass attenuation coefficients'!$A$2:$A$37,1)+1)-INDEX('Mass attenuation coefficients'!$B$2:$B$37,MATCH($C764,'Mass attenuation coefficients'!$A$2:$A$37,1)))/(INDEX('Mass attenuation coefficients'!$A$2:$A$37,MATCH($C764,'Mass attenuation coefficients'!$A$2:$A$37,1)+1)-INDEX('Mass attenuation coefficients'!$A$2:$A$37,MATCH($C764,'Mass attenuation coefficients'!$A$2:$A$37,1)))),0.997*$C764*'Mass attenuation coefficients'!$B$2/'Mass attenuation coefficients'!$A$2)</f>
        <v>0.12637094640000002</v>
      </c>
      <c r="I764" s="83">
        <f>_xlfn.IFNA(INDEX('Shultis Faw'!$C$2:$C$26,MATCH($C764,'Shultis Faw'!$A$2:$A$26,1))+($C764-INDEX('Shultis Faw'!$A$2:$A$26,MATCH($C764,'Shultis Faw'!$A$2:$A$26,1)))*(INDEX('Shultis Faw'!$C$2:$C$26,MATCH($C764,'Shultis Faw'!$A$2:$A$26,1)+1)-INDEX('Shultis Faw'!$C$2:$C$26,MATCH($C764,'Shultis Faw'!$A$2:$A$26,1)))/(INDEX('Shultis Faw'!$A$2:$A$26,MATCH($C764,'Shultis Faw'!$A$2:$A$26,1)+1)-INDEX('Shultis Faw'!$A$2:$A$26,MATCH($C764,'Shultis Faw'!$A$2:$A$26,1))),$C764*'Shultis Faw'!$C$2/'Shultis Faw'!$A$2)</f>
        <v>3.1671940000000003</v>
      </c>
      <c r="J764" s="83">
        <f>_xlfn.IFNA(INDEX('Shultis Faw'!$D$2:$D$26,MATCH($C764,'Shultis Faw'!$A$2:$A$26,1))+($C764-INDEX('Shultis Faw'!$A$2:$A$26,MATCH($C764,'Shultis Faw'!$A$2:$A$26,1)))*(INDEX('Shultis Faw'!$D$2:$D$26,MATCH($C764,'Shultis Faw'!$A$2:$A$26,1)+1)-INDEX('Shultis Faw'!$D$2:$D$26,MATCH($C764,'Shultis Faw'!$A$2:$A$26,1)))/(INDEX('Shultis Faw'!$A$2:$A$26,MATCH($C764,'Shultis Faw'!$A$2:$A$26,1)+1)-INDEX('Shultis Faw'!$A$2:$A$26,MATCH($C764,'Shultis Faw'!$A$2:$A$26,1))),$C764*'Shultis Faw'!$D$2/'Shultis Faw'!$A$2)</f>
        <v>2.080476</v>
      </c>
      <c r="K764" s="83">
        <f>_xlfn.IFNA(INDEX('Shultis Faw'!$B$2:$B$26,MATCH($C764,'Shultis Faw'!$A$2:$A$26,1))+($C764-INDEX('Shultis Faw'!$A$2:$A$26,MATCH($C764,'Shultis Faw'!$A$2:$A$26,1)))*(INDEX('Shultis Faw'!$B$2:$B$26,MATCH($C764,'Shultis Faw'!$A$2:$A$26,1)+1)-INDEX('Shultis Faw'!$B$2:$B$26,MATCH($C764,'Shultis Faw'!$A$2:$A$26,1)))/(INDEX('Shultis Faw'!$A$2:$A$26,MATCH($C764,'Shultis Faw'!$A$2:$A$26,1)+1)-INDEX('Shultis Faw'!$A$2:$A$26,MATCH($C764,'Shultis Faw'!$A$2:$A$26,1))),$C764*'Shultis Faw'!$B$2/'Shultis Faw'!$A$2)</f>
        <v>-0.16931599999999999</v>
      </c>
      <c r="L764" s="83">
        <f>_xlfn.IFNA(INDEX('Shultis Faw'!$E$2:$E$26,MATCH($C764,'Shultis Faw'!$A$2:$A$26,1))+($C764-INDEX('Shultis Faw'!$A$2:$A$26,MATCH($C764,'Shultis Faw'!$A$2:$A$26,1)))*(INDEX('Shultis Faw'!$E$2:$E$26,MATCH($C764,'Shultis Faw'!$A$2:$A$26,1)+1)-INDEX('Shultis Faw'!$E$2:$E$26,MATCH($C764,'Shultis Faw'!$A$2:$A$26,1)))/(INDEX('Shultis Faw'!$A$2:$A$26,MATCH($C764,'Shultis Faw'!$A$2:$A$26,1)+1)-INDEX('Shultis Faw'!$A$2:$A$26,MATCH($C764,'Shultis Faw'!$A$2:$A$26,1))),$C764*'Shultis Faw'!$E$2/'Shultis Faw'!$A$2)</f>
        <v>7.0771700000000007E-2</v>
      </c>
      <c r="M764" s="83">
        <f>_xlfn.IFNA(INDEX('Shultis Faw'!$F$2:$F$26,MATCH($C764,'Shultis Faw'!$A$2:$A$26,1))+($C764-INDEX('Shultis Faw'!$A$2:$A$26,MATCH($C764,'Shultis Faw'!$A$2:$A$26,1)))*(INDEX('Shultis Faw'!$F$2:$F$26,MATCH($C764,'Shultis Faw'!$A$2:$A$26,1)+1)-INDEX('Shultis Faw'!$F$2:$F$26,MATCH($C764,'Shultis Faw'!$A$2:$A$26,1)))/(INDEX('Shultis Faw'!$A$2:$A$26,MATCH($C764,'Shultis Faw'!$A$2:$A$26,1)+1)-INDEX('Shultis Faw'!$A$2:$A$26,MATCH($C764,'Shultis Faw'!$A$2:$A$26,1))),$C764*'Shultis Faw'!$F$2/'Shultis Faw'!$A$2)</f>
        <v>14.338470000000001</v>
      </c>
      <c r="N764" s="83">
        <f>J764*(H764*'Externe blootstelling'!$D$23/2)^K764+L764*(TANH(((H764*'Externe blootstelling'!$D$23)/(2*M764))-2)-TANH(-2))/(1-TANH(-2))</f>
        <v>1.8673523028754064</v>
      </c>
      <c r="O764" s="83">
        <f>IF(N764=1,1+(I764-1)*H764*'Externe blootstelling'!$D$23/2,1+(I764-1)*(N764^(H764*'Externe blootstelling'!$D$23/2)-1)/(N764-1))</f>
        <v>6.6639782022261338</v>
      </c>
      <c r="P764" s="67">
        <f>G764*EXP(-H764*'Externe blootstelling'!$D$23/2)*O764</f>
        <v>7.0705286516555268E-5</v>
      </c>
      <c r="Q764" s="68"/>
    </row>
    <row r="765" spans="1:17" x14ac:dyDescent="0.2">
      <c r="A765" s="220"/>
      <c r="B765" s="64" t="s">
        <v>104</v>
      </c>
      <c r="C765" s="66">
        <v>0.26039999999999996</v>
      </c>
      <c r="D765" s="66">
        <f t="shared" si="49"/>
        <v>4.1663999999999995E-14</v>
      </c>
      <c r="E765" s="66">
        <v>6.7000000000000002E-5</v>
      </c>
      <c r="F765" s="66">
        <f>_xlfn.IFNA(INDEX('hp (pSv cm2)'!$B$2:$B$52,MATCH($C765,'hp (pSv cm2)'!$A$2:$A$52,1))+($C765-INDEX('hp (pSv cm2)'!$A$2:$A$52,MATCH($C765,'hp (pSv cm2)'!$A$2:$A$52,1)))*(INDEX('hp (pSv cm2)'!$B$2:$B$52,MATCH($C765,'hp (pSv cm2)'!$A$2:$A$52,1)+1)-INDEX('hp (pSv cm2)'!$B$2:$B$52,MATCH($C765,'hp (pSv cm2)'!$A$2:$A$52,1)))/(INDEX('hp (pSv cm2)'!$A$2:$A$52,MATCH($C765,'hp (pSv cm2)'!$A$2:$A$52,1)+1)-INDEX('hp (pSv cm2)'!$A$2:$A$52,MATCH($C765,'hp (pSv cm2)'!$A$2:$A$52,1))),$C765*'hp (pSv cm2)'!$B$2/'hp (pSv cm2)'!$A$2)</f>
        <v>1.3080399999999999</v>
      </c>
      <c r="G765" s="67">
        <f t="shared" si="51"/>
        <v>8.7638679999999997E-5</v>
      </c>
      <c r="H765" s="83">
        <f>_xlfn.IFNA(0.997*(INDEX('Mass attenuation coefficients'!$B$2:$B$37,MATCH($C765,'Mass attenuation coefficients'!$A$2:$A$37,1))+($C765-INDEX('Mass attenuation coefficients'!$A$2:$A$37,MATCH($C765,'Mass attenuation coefficients'!$A$2:$A$37,1)))*(INDEX('Mass attenuation coefficients'!$B$2:$B$37,MATCH($C765,'Mass attenuation coefficients'!$A$2:$A$37,1)+1)-INDEX('Mass attenuation coefficients'!$B$2:$B$37,MATCH($C765,'Mass attenuation coefficients'!$A$2:$A$37,1)))/(INDEX('Mass attenuation coefficients'!$A$2:$A$37,MATCH($C765,'Mass attenuation coefficients'!$A$2:$A$37,1)+1)-INDEX('Mass attenuation coefficients'!$A$2:$A$37,MATCH($C765,'Mass attenuation coefficients'!$A$2:$A$37,1)))),0.997*$C765*'Mass attenuation coefficients'!$B$2/'Mass attenuation coefficients'!$A$2)</f>
        <v>0.12550874080000002</v>
      </c>
      <c r="I765" s="83">
        <f>_xlfn.IFNA(INDEX('Shultis Faw'!$C$2:$C$26,MATCH($C765,'Shultis Faw'!$A$2:$A$26,1))+($C765-INDEX('Shultis Faw'!$A$2:$A$26,MATCH($C765,'Shultis Faw'!$A$2:$A$26,1)))*(INDEX('Shultis Faw'!$C$2:$C$26,MATCH($C765,'Shultis Faw'!$A$2:$A$26,1)+1)-INDEX('Shultis Faw'!$C$2:$C$26,MATCH($C765,'Shultis Faw'!$A$2:$A$26,1)))/(INDEX('Shultis Faw'!$A$2:$A$26,MATCH($C765,'Shultis Faw'!$A$2:$A$26,1)+1)-INDEX('Shultis Faw'!$A$2:$A$26,MATCH($C765,'Shultis Faw'!$A$2:$A$26,1))),$C765*'Shultis Faw'!$C$2/'Shultis Faw'!$A$2)</f>
        <v>3.1409680000000004</v>
      </c>
      <c r="J765" s="83">
        <f>_xlfn.IFNA(INDEX('Shultis Faw'!$D$2:$D$26,MATCH($C765,'Shultis Faw'!$A$2:$A$26,1))+($C765-INDEX('Shultis Faw'!$A$2:$A$26,MATCH($C765,'Shultis Faw'!$A$2:$A$26,1)))*(INDEX('Shultis Faw'!$D$2:$D$26,MATCH($C765,'Shultis Faw'!$A$2:$A$26,1)+1)-INDEX('Shultis Faw'!$D$2:$D$26,MATCH($C765,'Shultis Faw'!$A$2:$A$26,1)))/(INDEX('Shultis Faw'!$A$2:$A$26,MATCH($C765,'Shultis Faw'!$A$2:$A$26,1)+1)-INDEX('Shultis Faw'!$A$2:$A$26,MATCH($C765,'Shultis Faw'!$A$2:$A$26,1))),$C765*'Shultis Faw'!$D$2/'Shultis Faw'!$A$2)</f>
        <v>2.0742719999999997</v>
      </c>
      <c r="K765" s="83">
        <f>_xlfn.IFNA(INDEX('Shultis Faw'!$B$2:$B$26,MATCH($C765,'Shultis Faw'!$A$2:$A$26,1))+($C765-INDEX('Shultis Faw'!$A$2:$A$26,MATCH($C765,'Shultis Faw'!$A$2:$A$26,1)))*(INDEX('Shultis Faw'!$B$2:$B$26,MATCH($C765,'Shultis Faw'!$A$2:$A$26,1)+1)-INDEX('Shultis Faw'!$B$2:$B$26,MATCH($C765,'Shultis Faw'!$A$2:$A$26,1)))/(INDEX('Shultis Faw'!$A$2:$A$26,MATCH($C765,'Shultis Faw'!$A$2:$A$26,1)+1)-INDEX('Shultis Faw'!$A$2:$A$26,MATCH($C765,'Shultis Faw'!$A$2:$A$26,1))),$C765*'Shultis Faw'!$B$2/'Shultis Faw'!$A$2)</f>
        <v>-0.16875200000000001</v>
      </c>
      <c r="L765" s="83">
        <f>_xlfn.IFNA(INDEX('Shultis Faw'!$E$2:$E$26,MATCH($C765,'Shultis Faw'!$A$2:$A$26,1))+($C765-INDEX('Shultis Faw'!$A$2:$A$26,MATCH($C765,'Shultis Faw'!$A$2:$A$26,1)))*(INDEX('Shultis Faw'!$E$2:$E$26,MATCH($C765,'Shultis Faw'!$A$2:$A$26,1)+1)-INDEX('Shultis Faw'!$E$2:$E$26,MATCH($C765,'Shultis Faw'!$A$2:$A$26,1)))/(INDEX('Shultis Faw'!$A$2:$A$26,MATCH($C765,'Shultis Faw'!$A$2:$A$26,1)+1)-INDEX('Shultis Faw'!$A$2:$A$26,MATCH($C765,'Shultis Faw'!$A$2:$A$26,1))),$C765*'Shultis Faw'!$E$2/'Shultis Faw'!$A$2)</f>
        <v>7.0212400000000008E-2</v>
      </c>
      <c r="M765" s="83">
        <f>_xlfn.IFNA(INDEX('Shultis Faw'!$F$2:$F$26,MATCH($C765,'Shultis Faw'!$A$2:$A$26,1))+($C765-INDEX('Shultis Faw'!$A$2:$A$26,MATCH($C765,'Shultis Faw'!$A$2:$A$26,1)))*(INDEX('Shultis Faw'!$F$2:$F$26,MATCH($C765,'Shultis Faw'!$A$2:$A$26,1)+1)-INDEX('Shultis Faw'!$F$2:$F$26,MATCH($C765,'Shultis Faw'!$A$2:$A$26,1)))/(INDEX('Shultis Faw'!$A$2:$A$26,MATCH($C765,'Shultis Faw'!$A$2:$A$26,1)+1)-INDEX('Shultis Faw'!$A$2:$A$26,MATCH($C765,'Shultis Faw'!$A$2:$A$26,1))),$C765*'Shultis Faw'!$F$2/'Shultis Faw'!$A$2)</f>
        <v>14.32484</v>
      </c>
      <c r="N765" s="83">
        <f>J765*(H765*'Externe blootstelling'!$D$23/2)^K765+L765*(TANH(((H765*'Externe blootstelling'!$D$23)/(2*M765))-2)-TANH(-2))/(1-TANH(-2))</f>
        <v>1.8646034463670995</v>
      </c>
      <c r="O765" s="83">
        <f>IF(N765=1,1+(I765-1)*H765*'Externe blootstelling'!$D$23/2,1+(I765-1)*(N765^(H765*'Externe blootstelling'!$D$23/2)-1)/(N765-1))</f>
        <v>6.5259267348271353</v>
      </c>
      <c r="P765" s="67">
        <f>G765*EXP(-H765*'Externe blootstelling'!$D$23/2)*O765</f>
        <v>8.7040568315625673E-5</v>
      </c>
      <c r="Q765" s="68"/>
    </row>
    <row r="766" spans="1:17" x14ac:dyDescent="0.2">
      <c r="A766" s="220"/>
      <c r="B766" s="64" t="s">
        <v>104</v>
      </c>
      <c r="C766" s="66">
        <v>0.26946300000000001</v>
      </c>
      <c r="D766" s="66">
        <f t="shared" si="49"/>
        <v>4.3114079999999996E-14</v>
      </c>
      <c r="E766" s="66">
        <v>0.14230000000000001</v>
      </c>
      <c r="F766" s="66">
        <f>_xlfn.IFNA(INDEX('hp (pSv cm2)'!$B$2:$B$52,MATCH($C766,'hp (pSv cm2)'!$A$2:$A$52,1))+($C766-INDEX('hp (pSv cm2)'!$A$2:$A$52,MATCH($C766,'hp (pSv cm2)'!$A$2:$A$52,1)))*(INDEX('hp (pSv cm2)'!$B$2:$B$52,MATCH($C766,'hp (pSv cm2)'!$A$2:$A$52,1)+1)-INDEX('hp (pSv cm2)'!$B$2:$B$52,MATCH($C766,'hp (pSv cm2)'!$A$2:$A$52,1)))/(INDEX('hp (pSv cm2)'!$A$2:$A$52,MATCH($C766,'hp (pSv cm2)'!$A$2:$A$52,1)+1)-INDEX('hp (pSv cm2)'!$A$2:$A$52,MATCH($C766,'hp (pSv cm2)'!$A$2:$A$52,1))),$C766*'hp (pSv cm2)'!$B$2/'hp (pSv cm2)'!$A$2)</f>
        <v>1.3542613000000001</v>
      </c>
      <c r="G766" s="67">
        <f t="shared" si="51"/>
        <v>0.19271138299000004</v>
      </c>
      <c r="H766" s="83">
        <f>_xlfn.IFNA(0.997*(INDEX('Mass attenuation coefficients'!$B$2:$B$37,MATCH($C766,'Mass attenuation coefficients'!$A$2:$A$37,1))+($C766-INDEX('Mass attenuation coefficients'!$A$2:$A$37,MATCH($C766,'Mass attenuation coefficients'!$A$2:$A$37,1)))*(INDEX('Mass attenuation coefficients'!$B$2:$B$37,MATCH($C766,'Mass attenuation coefficients'!$A$2:$A$37,1)+1)-INDEX('Mass attenuation coefficients'!$B$2:$B$37,MATCH($C766,'Mass attenuation coefficients'!$A$2:$A$37,1)))/(INDEX('Mass attenuation coefficients'!$A$2:$A$37,MATCH($C766,'Mass attenuation coefficients'!$A$2:$A$37,1)+1)-INDEX('Mass attenuation coefficients'!$A$2:$A$37,MATCH($C766,'Mass attenuation coefficients'!$A$2:$A$37,1)))),0.997*$C766*'Mass attenuation coefficients'!$B$2/'Mass attenuation coefficients'!$A$2)</f>
        <v>0.123846151576</v>
      </c>
      <c r="I766" s="83">
        <f>_xlfn.IFNA(INDEX('Shultis Faw'!$C$2:$C$26,MATCH($C766,'Shultis Faw'!$A$2:$A$26,1))+($C766-INDEX('Shultis Faw'!$A$2:$A$26,MATCH($C766,'Shultis Faw'!$A$2:$A$26,1)))*(INDEX('Shultis Faw'!$C$2:$C$26,MATCH($C766,'Shultis Faw'!$A$2:$A$26,1)+1)-INDEX('Shultis Faw'!$C$2:$C$26,MATCH($C766,'Shultis Faw'!$A$2:$A$26,1)))/(INDEX('Shultis Faw'!$A$2:$A$26,MATCH($C766,'Shultis Faw'!$A$2:$A$26,1)+1)-INDEX('Shultis Faw'!$A$2:$A$26,MATCH($C766,'Shultis Faw'!$A$2:$A$26,1))),$C766*'Shultis Faw'!$C$2/'Shultis Faw'!$A$2)</f>
        <v>3.09039646</v>
      </c>
      <c r="J766" s="83">
        <f>_xlfn.IFNA(INDEX('Shultis Faw'!$D$2:$D$26,MATCH($C766,'Shultis Faw'!$A$2:$A$26,1))+($C766-INDEX('Shultis Faw'!$A$2:$A$26,MATCH($C766,'Shultis Faw'!$A$2:$A$26,1)))*(INDEX('Shultis Faw'!$D$2:$D$26,MATCH($C766,'Shultis Faw'!$A$2:$A$26,1)+1)-INDEX('Shultis Faw'!$D$2:$D$26,MATCH($C766,'Shultis Faw'!$A$2:$A$26,1)))/(INDEX('Shultis Faw'!$A$2:$A$26,MATCH($C766,'Shultis Faw'!$A$2:$A$26,1)+1)-INDEX('Shultis Faw'!$A$2:$A$26,MATCH($C766,'Shultis Faw'!$A$2:$A$26,1))),$C766*'Shultis Faw'!$D$2/'Shultis Faw'!$A$2)</f>
        <v>2.06230884</v>
      </c>
      <c r="K766" s="83">
        <f>_xlfn.IFNA(INDEX('Shultis Faw'!$B$2:$B$26,MATCH($C766,'Shultis Faw'!$A$2:$A$26,1))+($C766-INDEX('Shultis Faw'!$A$2:$A$26,MATCH($C766,'Shultis Faw'!$A$2:$A$26,1)))*(INDEX('Shultis Faw'!$B$2:$B$26,MATCH($C766,'Shultis Faw'!$A$2:$A$26,1)+1)-INDEX('Shultis Faw'!$B$2:$B$26,MATCH($C766,'Shultis Faw'!$A$2:$A$26,1)))/(INDEX('Shultis Faw'!$A$2:$A$26,MATCH($C766,'Shultis Faw'!$A$2:$A$26,1)+1)-INDEX('Shultis Faw'!$A$2:$A$26,MATCH($C766,'Shultis Faw'!$A$2:$A$26,1))),$C766*'Shultis Faw'!$B$2/'Shultis Faw'!$A$2)</f>
        <v>-0.16766444</v>
      </c>
      <c r="L766" s="83">
        <f>_xlfn.IFNA(INDEX('Shultis Faw'!$E$2:$E$26,MATCH($C766,'Shultis Faw'!$A$2:$A$26,1))+($C766-INDEX('Shultis Faw'!$A$2:$A$26,MATCH($C766,'Shultis Faw'!$A$2:$A$26,1)))*(INDEX('Shultis Faw'!$E$2:$E$26,MATCH($C766,'Shultis Faw'!$A$2:$A$26,1)+1)-INDEX('Shultis Faw'!$E$2:$E$26,MATCH($C766,'Shultis Faw'!$A$2:$A$26,1)))/(INDEX('Shultis Faw'!$A$2:$A$26,MATCH($C766,'Shultis Faw'!$A$2:$A$26,1)+1)-INDEX('Shultis Faw'!$A$2:$A$26,MATCH($C766,'Shultis Faw'!$A$2:$A$26,1))),$C766*'Shultis Faw'!$E$2/'Shultis Faw'!$A$2)</f>
        <v>6.9133902999999997E-2</v>
      </c>
      <c r="M766" s="83">
        <f>_xlfn.IFNA(INDEX('Shultis Faw'!$F$2:$F$26,MATCH($C766,'Shultis Faw'!$A$2:$A$26,1))+($C766-INDEX('Shultis Faw'!$A$2:$A$26,MATCH($C766,'Shultis Faw'!$A$2:$A$26,1)))*(INDEX('Shultis Faw'!$F$2:$F$26,MATCH($C766,'Shultis Faw'!$A$2:$A$26,1)+1)-INDEX('Shultis Faw'!$F$2:$F$26,MATCH($C766,'Shultis Faw'!$A$2:$A$26,1)))/(INDEX('Shultis Faw'!$A$2:$A$26,MATCH($C766,'Shultis Faw'!$A$2:$A$26,1)+1)-INDEX('Shultis Faw'!$A$2:$A$26,MATCH($C766,'Shultis Faw'!$A$2:$A$26,1))),$C766*'Shultis Faw'!$F$2/'Shultis Faw'!$A$2)</f>
        <v>14.298557300000001</v>
      </c>
      <c r="N766" s="83">
        <f>J766*(H766*'Externe blootstelling'!$D$23/2)^K766+L766*(TANH(((H766*'Externe blootstelling'!$D$23)/(2*M766))-2)-TANH(-2))/(1-TANH(-2))</f>
        <v>1.8592684577570333</v>
      </c>
      <c r="O766" s="83">
        <f>IF(N766=1,1+(I766-1)*H766*'Externe blootstelling'!$D$23/2,1+(I766-1)*(N766^(H766*'Externe blootstelling'!$D$23/2)-1)/(N766-1))</f>
        <v>6.2665953933941267</v>
      </c>
      <c r="P766" s="67">
        <f>G766*EXP(-H766*'Externe blootstelling'!$D$23/2)*O766</f>
        <v>0.18843150625004196</v>
      </c>
      <c r="Q766" s="68"/>
    </row>
    <row r="767" spans="1:17" x14ac:dyDescent="0.2">
      <c r="A767" s="220"/>
      <c r="B767" s="64" t="s">
        <v>104</v>
      </c>
      <c r="C767" s="66">
        <v>0.27029999999999998</v>
      </c>
      <c r="D767" s="66">
        <f t="shared" si="49"/>
        <v>4.3247999999999999E-14</v>
      </c>
      <c r="E767" s="66">
        <v>6.9999999999999999E-6</v>
      </c>
      <c r="F767" s="66">
        <f>_xlfn.IFNA(INDEX('hp (pSv cm2)'!$B$2:$B$52,MATCH($C767,'hp (pSv cm2)'!$A$2:$A$52,1))+($C767-INDEX('hp (pSv cm2)'!$A$2:$A$52,MATCH($C767,'hp (pSv cm2)'!$A$2:$A$52,1)))*(INDEX('hp (pSv cm2)'!$B$2:$B$52,MATCH($C767,'hp (pSv cm2)'!$A$2:$A$52,1)+1)-INDEX('hp (pSv cm2)'!$B$2:$B$52,MATCH($C767,'hp (pSv cm2)'!$A$2:$A$52,1)))/(INDEX('hp (pSv cm2)'!$A$2:$A$52,MATCH($C767,'hp (pSv cm2)'!$A$2:$A$52,1)+1)-INDEX('hp (pSv cm2)'!$A$2:$A$52,MATCH($C767,'hp (pSv cm2)'!$A$2:$A$52,1))),$C767*'hp (pSv cm2)'!$B$2/'hp (pSv cm2)'!$A$2)</f>
        <v>1.35853</v>
      </c>
      <c r="G767" s="67">
        <f t="shared" si="51"/>
        <v>9.5097100000000005E-6</v>
      </c>
      <c r="H767" s="83">
        <f>_xlfn.IFNA(0.997*(INDEX('Mass attenuation coefficients'!$B$2:$B$37,MATCH($C767,'Mass attenuation coefficients'!$A$2:$A$37,1))+($C767-INDEX('Mass attenuation coefficients'!$A$2:$A$37,MATCH($C767,'Mass attenuation coefficients'!$A$2:$A$37,1)))*(INDEX('Mass attenuation coefficients'!$B$2:$B$37,MATCH($C767,'Mass attenuation coefficients'!$A$2:$A$37,1)+1)-INDEX('Mass attenuation coefficients'!$B$2:$B$37,MATCH($C767,'Mass attenuation coefficients'!$A$2:$A$37,1)))/(INDEX('Mass attenuation coefficients'!$A$2:$A$37,MATCH($C767,'Mass attenuation coefficients'!$A$2:$A$37,1)+1)-INDEX('Mass attenuation coefficients'!$A$2:$A$37,MATCH($C767,'Mass attenuation coefficients'!$A$2:$A$37,1)))),0.997*$C767*'Mass attenuation coefficients'!$B$2/'Mass attenuation coefficients'!$A$2)</f>
        <v>0.12369260560000001</v>
      </c>
      <c r="I767" s="83">
        <f>_xlfn.IFNA(INDEX('Shultis Faw'!$C$2:$C$26,MATCH($C767,'Shultis Faw'!$A$2:$A$26,1))+($C767-INDEX('Shultis Faw'!$A$2:$A$26,MATCH($C767,'Shultis Faw'!$A$2:$A$26,1)))*(INDEX('Shultis Faw'!$C$2:$C$26,MATCH($C767,'Shultis Faw'!$A$2:$A$26,1)+1)-INDEX('Shultis Faw'!$C$2:$C$26,MATCH($C767,'Shultis Faw'!$A$2:$A$26,1)))/(INDEX('Shultis Faw'!$A$2:$A$26,MATCH($C767,'Shultis Faw'!$A$2:$A$26,1)+1)-INDEX('Shultis Faw'!$A$2:$A$26,MATCH($C767,'Shultis Faw'!$A$2:$A$26,1))),$C767*'Shultis Faw'!$C$2/'Shultis Faw'!$A$2)</f>
        <v>3.0857260000000002</v>
      </c>
      <c r="J767" s="83">
        <f>_xlfn.IFNA(INDEX('Shultis Faw'!$D$2:$D$26,MATCH($C767,'Shultis Faw'!$A$2:$A$26,1))+($C767-INDEX('Shultis Faw'!$A$2:$A$26,MATCH($C767,'Shultis Faw'!$A$2:$A$26,1)))*(INDEX('Shultis Faw'!$D$2:$D$26,MATCH($C767,'Shultis Faw'!$A$2:$A$26,1)+1)-INDEX('Shultis Faw'!$D$2:$D$26,MATCH($C767,'Shultis Faw'!$A$2:$A$26,1)))/(INDEX('Shultis Faw'!$A$2:$A$26,MATCH($C767,'Shultis Faw'!$A$2:$A$26,1)+1)-INDEX('Shultis Faw'!$A$2:$A$26,MATCH($C767,'Shultis Faw'!$A$2:$A$26,1))),$C767*'Shultis Faw'!$D$2/'Shultis Faw'!$A$2)</f>
        <v>2.061204</v>
      </c>
      <c r="K767" s="83">
        <f>_xlfn.IFNA(INDEX('Shultis Faw'!$B$2:$B$26,MATCH($C767,'Shultis Faw'!$A$2:$A$26,1))+($C767-INDEX('Shultis Faw'!$A$2:$A$26,MATCH($C767,'Shultis Faw'!$A$2:$A$26,1)))*(INDEX('Shultis Faw'!$B$2:$B$26,MATCH($C767,'Shultis Faw'!$A$2:$A$26,1)+1)-INDEX('Shultis Faw'!$B$2:$B$26,MATCH($C767,'Shultis Faw'!$A$2:$A$26,1)))/(INDEX('Shultis Faw'!$A$2:$A$26,MATCH($C767,'Shultis Faw'!$A$2:$A$26,1)+1)-INDEX('Shultis Faw'!$A$2:$A$26,MATCH($C767,'Shultis Faw'!$A$2:$A$26,1))),$C767*'Shultis Faw'!$B$2/'Shultis Faw'!$A$2)</f>
        <v>-0.16756399999999999</v>
      </c>
      <c r="L767" s="83">
        <f>_xlfn.IFNA(INDEX('Shultis Faw'!$E$2:$E$26,MATCH($C767,'Shultis Faw'!$A$2:$A$26,1))+($C767-INDEX('Shultis Faw'!$A$2:$A$26,MATCH($C767,'Shultis Faw'!$A$2:$A$26,1)))*(INDEX('Shultis Faw'!$E$2:$E$26,MATCH($C767,'Shultis Faw'!$A$2:$A$26,1)+1)-INDEX('Shultis Faw'!$E$2:$E$26,MATCH($C767,'Shultis Faw'!$A$2:$A$26,1)))/(INDEX('Shultis Faw'!$A$2:$A$26,MATCH($C767,'Shultis Faw'!$A$2:$A$26,1)+1)-INDEX('Shultis Faw'!$A$2:$A$26,MATCH($C767,'Shultis Faw'!$A$2:$A$26,1))),$C767*'Shultis Faw'!$E$2/'Shultis Faw'!$A$2)</f>
        <v>6.9034300000000007E-2</v>
      </c>
      <c r="M767" s="83">
        <f>_xlfn.IFNA(INDEX('Shultis Faw'!$F$2:$F$26,MATCH($C767,'Shultis Faw'!$A$2:$A$26,1))+($C767-INDEX('Shultis Faw'!$A$2:$A$26,MATCH($C767,'Shultis Faw'!$A$2:$A$26,1)))*(INDEX('Shultis Faw'!$F$2:$F$26,MATCH($C767,'Shultis Faw'!$A$2:$A$26,1)+1)-INDEX('Shultis Faw'!$F$2:$F$26,MATCH($C767,'Shultis Faw'!$A$2:$A$26,1)))/(INDEX('Shultis Faw'!$A$2:$A$26,MATCH($C767,'Shultis Faw'!$A$2:$A$26,1)+1)-INDEX('Shultis Faw'!$A$2:$A$26,MATCH($C767,'Shultis Faw'!$A$2:$A$26,1))),$C767*'Shultis Faw'!$F$2/'Shultis Faw'!$A$2)</f>
        <v>14.29613</v>
      </c>
      <c r="N767" s="83">
        <f>J767*(H767*'Externe blootstelling'!$D$23/2)^K767+L767*(TANH(((H767*'Externe blootstelling'!$D$23)/(2*M767))-2)-TANH(-2))/(1-TANH(-2))</f>
        <v>1.8587734735180477</v>
      </c>
      <c r="O767" s="83">
        <f>IF(N767=1,1+(I767-1)*H767*'Externe blootstelling'!$D$23/2,1+(I767-1)*(N767^(H767*'Externe blootstelling'!$D$23/2)-1)/(N767-1))</f>
        <v>6.2430947069117195</v>
      </c>
      <c r="P767" s="67">
        <f>G767*EXP(-H767*'Externe blootstelling'!$D$23/2)*O767</f>
        <v>9.2850010132905173E-6</v>
      </c>
      <c r="Q767" s="68"/>
    </row>
    <row r="768" spans="1:17" x14ac:dyDescent="0.2">
      <c r="A768" s="220"/>
      <c r="B768" s="64" t="s">
        <v>104</v>
      </c>
      <c r="C768" s="66">
        <v>0.28599999999999998</v>
      </c>
      <c r="D768" s="66">
        <f t="shared" si="49"/>
        <v>4.5759999999999999E-14</v>
      </c>
      <c r="E768" s="66">
        <v>1.1000000000000001E-5</v>
      </c>
      <c r="F768" s="66">
        <f>_xlfn.IFNA(INDEX('hp (pSv cm2)'!$B$2:$B$52,MATCH($C768,'hp (pSv cm2)'!$A$2:$A$52,1))+($C768-INDEX('hp (pSv cm2)'!$A$2:$A$52,MATCH($C768,'hp (pSv cm2)'!$A$2:$A$52,1)))*(INDEX('hp (pSv cm2)'!$B$2:$B$52,MATCH($C768,'hp (pSv cm2)'!$A$2:$A$52,1)+1)-INDEX('hp (pSv cm2)'!$B$2:$B$52,MATCH($C768,'hp (pSv cm2)'!$A$2:$A$52,1)))/(INDEX('hp (pSv cm2)'!$A$2:$A$52,MATCH($C768,'hp (pSv cm2)'!$A$2:$A$52,1)+1)-INDEX('hp (pSv cm2)'!$A$2:$A$52,MATCH($C768,'hp (pSv cm2)'!$A$2:$A$52,1))),$C768*'hp (pSv cm2)'!$B$2/'hp (pSv cm2)'!$A$2)</f>
        <v>1.4385999999999999</v>
      </c>
      <c r="G768" s="67">
        <f t="shared" si="51"/>
        <v>1.5824600000000001E-5</v>
      </c>
      <c r="H768" s="83">
        <f>_xlfn.IFNA(0.997*(INDEX('Mass attenuation coefficients'!$B$2:$B$37,MATCH($C768,'Mass attenuation coefficients'!$A$2:$A$37,1))+($C768-INDEX('Mass attenuation coefficients'!$A$2:$A$37,MATCH($C768,'Mass attenuation coefficients'!$A$2:$A$37,1)))*(INDEX('Mass attenuation coefficients'!$B$2:$B$37,MATCH($C768,'Mass attenuation coefficients'!$A$2:$A$37,1)+1)-INDEX('Mass attenuation coefficients'!$B$2:$B$37,MATCH($C768,'Mass attenuation coefficients'!$A$2:$A$37,1)))/(INDEX('Mass attenuation coefficients'!$A$2:$A$37,MATCH($C768,'Mass attenuation coefficients'!$A$2:$A$37,1)+1)-INDEX('Mass attenuation coefficients'!$A$2:$A$37,MATCH($C768,'Mass attenuation coefficients'!$A$2:$A$37,1)))),0.997*$C768*'Mass attenuation coefficients'!$B$2/'Mass attenuation coefficients'!$A$2)</f>
        <v>0.120812472</v>
      </c>
      <c r="I768" s="83">
        <f>_xlfn.IFNA(INDEX('Shultis Faw'!$C$2:$C$26,MATCH($C768,'Shultis Faw'!$A$2:$A$26,1))+($C768-INDEX('Shultis Faw'!$A$2:$A$26,MATCH($C768,'Shultis Faw'!$A$2:$A$26,1)))*(INDEX('Shultis Faw'!$C$2:$C$26,MATCH($C768,'Shultis Faw'!$A$2:$A$26,1)+1)-INDEX('Shultis Faw'!$C$2:$C$26,MATCH($C768,'Shultis Faw'!$A$2:$A$26,1)))/(INDEX('Shultis Faw'!$A$2:$A$26,MATCH($C768,'Shultis Faw'!$A$2:$A$26,1)+1)-INDEX('Shultis Faw'!$A$2:$A$26,MATCH($C768,'Shultis Faw'!$A$2:$A$26,1))),$C768*'Shultis Faw'!$C$2/'Shultis Faw'!$A$2)</f>
        <v>2.9981200000000001</v>
      </c>
      <c r="J768" s="83">
        <f>_xlfn.IFNA(INDEX('Shultis Faw'!$D$2:$D$26,MATCH($C768,'Shultis Faw'!$A$2:$A$26,1))+($C768-INDEX('Shultis Faw'!$A$2:$A$26,MATCH($C768,'Shultis Faw'!$A$2:$A$26,1)))*(INDEX('Shultis Faw'!$D$2:$D$26,MATCH($C768,'Shultis Faw'!$A$2:$A$26,1)+1)-INDEX('Shultis Faw'!$D$2:$D$26,MATCH($C768,'Shultis Faw'!$A$2:$A$26,1)))/(INDEX('Shultis Faw'!$A$2:$A$26,MATCH($C768,'Shultis Faw'!$A$2:$A$26,1)+1)-INDEX('Shultis Faw'!$A$2:$A$26,MATCH($C768,'Shultis Faw'!$A$2:$A$26,1))),$C768*'Shultis Faw'!$D$2/'Shultis Faw'!$A$2)</f>
        <v>2.0404799999999996</v>
      </c>
      <c r="K768" s="83">
        <f>_xlfn.IFNA(INDEX('Shultis Faw'!$B$2:$B$26,MATCH($C768,'Shultis Faw'!$A$2:$A$26,1))+($C768-INDEX('Shultis Faw'!$A$2:$A$26,MATCH($C768,'Shultis Faw'!$A$2:$A$26,1)))*(INDEX('Shultis Faw'!$B$2:$B$26,MATCH($C768,'Shultis Faw'!$A$2:$A$26,1)+1)-INDEX('Shultis Faw'!$B$2:$B$26,MATCH($C768,'Shultis Faw'!$A$2:$A$26,1)))/(INDEX('Shultis Faw'!$A$2:$A$26,MATCH($C768,'Shultis Faw'!$A$2:$A$26,1)+1)-INDEX('Shultis Faw'!$A$2:$A$26,MATCH($C768,'Shultis Faw'!$A$2:$A$26,1))),$C768*'Shultis Faw'!$B$2/'Shultis Faw'!$A$2)</f>
        <v>-0.16567999999999999</v>
      </c>
      <c r="L768" s="83">
        <f>_xlfn.IFNA(INDEX('Shultis Faw'!$E$2:$E$26,MATCH($C768,'Shultis Faw'!$A$2:$A$26,1))+($C768-INDEX('Shultis Faw'!$A$2:$A$26,MATCH($C768,'Shultis Faw'!$A$2:$A$26,1)))*(INDEX('Shultis Faw'!$E$2:$E$26,MATCH($C768,'Shultis Faw'!$A$2:$A$26,1)+1)-INDEX('Shultis Faw'!$E$2:$E$26,MATCH($C768,'Shultis Faw'!$A$2:$A$26,1)))/(INDEX('Shultis Faw'!$A$2:$A$26,MATCH($C768,'Shultis Faw'!$A$2:$A$26,1)+1)-INDEX('Shultis Faw'!$A$2:$A$26,MATCH($C768,'Shultis Faw'!$A$2:$A$26,1))),$C768*'Shultis Faw'!$E$2/'Shultis Faw'!$A$2)</f>
        <v>6.7166000000000003E-2</v>
      </c>
      <c r="M768" s="83">
        <f>_xlfn.IFNA(INDEX('Shultis Faw'!$F$2:$F$26,MATCH($C768,'Shultis Faw'!$A$2:$A$26,1))+($C768-INDEX('Shultis Faw'!$A$2:$A$26,MATCH($C768,'Shultis Faw'!$A$2:$A$26,1)))*(INDEX('Shultis Faw'!$F$2:$F$26,MATCH($C768,'Shultis Faw'!$A$2:$A$26,1)+1)-INDEX('Shultis Faw'!$F$2:$F$26,MATCH($C768,'Shultis Faw'!$A$2:$A$26,1)))/(INDEX('Shultis Faw'!$A$2:$A$26,MATCH($C768,'Shultis Faw'!$A$2:$A$26,1)+1)-INDEX('Shultis Faw'!$A$2:$A$26,MATCH($C768,'Shultis Faw'!$A$2:$A$26,1))),$C768*'Shultis Faw'!$F$2/'Shultis Faw'!$A$2)</f>
        <v>14.2506</v>
      </c>
      <c r="N768" s="83">
        <f>J768*(H768*'Externe blootstelling'!$D$23/2)^K768+L768*(TANH(((H768*'Externe blootstelling'!$D$23)/(2*M768))-2)-TANH(-2))/(1-TANH(-2))</f>
        <v>1.8494176654191641</v>
      </c>
      <c r="O768" s="83">
        <f>IF(N768=1,1+(I768-1)*H768*'Externe blootstelling'!$D$23/2,1+(I768-1)*(N768^(H768*'Externe blootstelling'!$D$23/2)-1)/(N768-1))</f>
        <v>5.8159835159256819</v>
      </c>
      <c r="P768" s="67">
        <f>G768*EXP(-H768*'Externe blootstelling'!$D$23/2)*O768</f>
        <v>1.5029102937905285E-5</v>
      </c>
      <c r="Q768" s="68"/>
    </row>
    <row r="769" spans="1:17" x14ac:dyDescent="0.2">
      <c r="A769" s="220"/>
      <c r="B769" s="64" t="s">
        <v>104</v>
      </c>
      <c r="C769" s="66">
        <v>0.28817999999999999</v>
      </c>
      <c r="D769" s="66">
        <f t="shared" si="49"/>
        <v>4.61088E-14</v>
      </c>
      <c r="E769" s="66">
        <v>1.6100000000000001E-3</v>
      </c>
      <c r="F769" s="66">
        <f>_xlfn.IFNA(INDEX('hp (pSv cm2)'!$B$2:$B$52,MATCH($C769,'hp (pSv cm2)'!$A$2:$A$52,1))+($C769-INDEX('hp (pSv cm2)'!$A$2:$A$52,MATCH($C769,'hp (pSv cm2)'!$A$2:$A$52,1)))*(INDEX('hp (pSv cm2)'!$B$2:$B$52,MATCH($C769,'hp (pSv cm2)'!$A$2:$A$52,1)+1)-INDEX('hp (pSv cm2)'!$B$2:$B$52,MATCH($C769,'hp (pSv cm2)'!$A$2:$A$52,1)))/(INDEX('hp (pSv cm2)'!$A$2:$A$52,MATCH($C769,'hp (pSv cm2)'!$A$2:$A$52,1)+1)-INDEX('hp (pSv cm2)'!$A$2:$A$52,MATCH($C769,'hp (pSv cm2)'!$A$2:$A$52,1))),$C769*'hp (pSv cm2)'!$B$2/'hp (pSv cm2)'!$A$2)</f>
        <v>1.4497180000000001</v>
      </c>
      <c r="G769" s="67">
        <f t="shared" si="51"/>
        <v>2.3340459800000003E-3</v>
      </c>
      <c r="H769" s="83">
        <f>_xlfn.IFNA(0.997*(INDEX('Mass attenuation coefficients'!$B$2:$B$37,MATCH($C769,'Mass attenuation coefficients'!$A$2:$A$37,1))+($C769-INDEX('Mass attenuation coefficients'!$A$2:$A$37,MATCH($C769,'Mass attenuation coefficients'!$A$2:$A$37,1)))*(INDEX('Mass attenuation coefficients'!$B$2:$B$37,MATCH($C769,'Mass attenuation coefficients'!$A$2:$A$37,1)+1)-INDEX('Mass attenuation coefficients'!$B$2:$B$37,MATCH($C769,'Mass attenuation coefficients'!$A$2:$A$37,1)))/(INDEX('Mass attenuation coefficients'!$A$2:$A$37,MATCH($C769,'Mass attenuation coefficients'!$A$2:$A$37,1)+1)-INDEX('Mass attenuation coefficients'!$A$2:$A$37,MATCH($C769,'Mass attenuation coefficients'!$A$2:$A$37,1)))),0.997*$C769*'Mass attenuation coefficients'!$B$2/'Mass attenuation coefficients'!$A$2)</f>
        <v>0.12041255536000001</v>
      </c>
      <c r="I769" s="83">
        <f>_xlfn.IFNA(INDEX('Shultis Faw'!$C$2:$C$26,MATCH($C769,'Shultis Faw'!$A$2:$A$26,1))+($C769-INDEX('Shultis Faw'!$A$2:$A$26,MATCH($C769,'Shultis Faw'!$A$2:$A$26,1)))*(INDEX('Shultis Faw'!$C$2:$C$26,MATCH($C769,'Shultis Faw'!$A$2:$A$26,1)+1)-INDEX('Shultis Faw'!$C$2:$C$26,MATCH($C769,'Shultis Faw'!$A$2:$A$26,1)))/(INDEX('Shultis Faw'!$A$2:$A$26,MATCH($C769,'Shultis Faw'!$A$2:$A$26,1)+1)-INDEX('Shultis Faw'!$A$2:$A$26,MATCH($C769,'Shultis Faw'!$A$2:$A$26,1))),$C769*'Shultis Faw'!$C$2/'Shultis Faw'!$A$2)</f>
        <v>2.9859556</v>
      </c>
      <c r="J769" s="83">
        <f>_xlfn.IFNA(INDEX('Shultis Faw'!$D$2:$D$26,MATCH($C769,'Shultis Faw'!$A$2:$A$26,1))+($C769-INDEX('Shultis Faw'!$A$2:$A$26,MATCH($C769,'Shultis Faw'!$A$2:$A$26,1)))*(INDEX('Shultis Faw'!$D$2:$D$26,MATCH($C769,'Shultis Faw'!$A$2:$A$26,1)+1)-INDEX('Shultis Faw'!$D$2:$D$26,MATCH($C769,'Shultis Faw'!$A$2:$A$26,1)))/(INDEX('Shultis Faw'!$A$2:$A$26,MATCH($C769,'Shultis Faw'!$A$2:$A$26,1)+1)-INDEX('Shultis Faw'!$A$2:$A$26,MATCH($C769,'Shultis Faw'!$A$2:$A$26,1))),$C769*'Shultis Faw'!$D$2/'Shultis Faw'!$A$2)</f>
        <v>2.0376023999999999</v>
      </c>
      <c r="K769" s="83">
        <f>_xlfn.IFNA(INDEX('Shultis Faw'!$B$2:$B$26,MATCH($C769,'Shultis Faw'!$A$2:$A$26,1))+($C769-INDEX('Shultis Faw'!$A$2:$A$26,MATCH($C769,'Shultis Faw'!$A$2:$A$26,1)))*(INDEX('Shultis Faw'!$B$2:$B$26,MATCH($C769,'Shultis Faw'!$A$2:$A$26,1)+1)-INDEX('Shultis Faw'!$B$2:$B$26,MATCH($C769,'Shultis Faw'!$A$2:$A$26,1)))/(INDEX('Shultis Faw'!$A$2:$A$26,MATCH($C769,'Shultis Faw'!$A$2:$A$26,1)+1)-INDEX('Shultis Faw'!$A$2:$A$26,MATCH($C769,'Shultis Faw'!$A$2:$A$26,1))),$C769*'Shultis Faw'!$B$2/'Shultis Faw'!$A$2)</f>
        <v>-0.16541839999999999</v>
      </c>
      <c r="L769" s="83">
        <f>_xlfn.IFNA(INDEX('Shultis Faw'!$E$2:$E$26,MATCH($C769,'Shultis Faw'!$A$2:$A$26,1))+($C769-INDEX('Shultis Faw'!$A$2:$A$26,MATCH($C769,'Shultis Faw'!$A$2:$A$26,1)))*(INDEX('Shultis Faw'!$E$2:$E$26,MATCH($C769,'Shultis Faw'!$A$2:$A$26,1)+1)-INDEX('Shultis Faw'!$E$2:$E$26,MATCH($C769,'Shultis Faw'!$A$2:$A$26,1)))/(INDEX('Shultis Faw'!$A$2:$A$26,MATCH($C769,'Shultis Faw'!$A$2:$A$26,1)+1)-INDEX('Shultis Faw'!$A$2:$A$26,MATCH($C769,'Shultis Faw'!$A$2:$A$26,1))),$C769*'Shultis Faw'!$E$2/'Shultis Faw'!$A$2)</f>
        <v>6.6906579999999993E-2</v>
      </c>
      <c r="M769" s="83">
        <f>_xlfn.IFNA(INDEX('Shultis Faw'!$F$2:$F$26,MATCH($C769,'Shultis Faw'!$A$2:$A$26,1))+($C769-INDEX('Shultis Faw'!$A$2:$A$26,MATCH($C769,'Shultis Faw'!$A$2:$A$26,1)))*(INDEX('Shultis Faw'!$F$2:$F$26,MATCH($C769,'Shultis Faw'!$A$2:$A$26,1)+1)-INDEX('Shultis Faw'!$F$2:$F$26,MATCH($C769,'Shultis Faw'!$A$2:$A$26,1)))/(INDEX('Shultis Faw'!$A$2:$A$26,MATCH($C769,'Shultis Faw'!$A$2:$A$26,1)+1)-INDEX('Shultis Faw'!$A$2:$A$26,MATCH($C769,'Shultis Faw'!$A$2:$A$26,1))),$C769*'Shultis Faw'!$F$2/'Shultis Faw'!$A$2)</f>
        <v>14.244278000000001</v>
      </c>
      <c r="N769" s="83">
        <f>J769*(H769*'Externe blootstelling'!$D$23/2)^K769+L769*(TANH(((H769*'Externe blootstelling'!$D$23)/(2*M769))-2)-TANH(-2))/(1-TANH(-2))</f>
        <v>1.8481079260071471</v>
      </c>
      <c r="O769" s="83">
        <f>IF(N769=1,1+(I769-1)*H769*'Externe blootstelling'!$D$23/2,1+(I769-1)*(N769^(H769*'Externe blootstelling'!$D$23/2)-1)/(N769-1))</f>
        <v>5.7586938398661749</v>
      </c>
      <c r="P769" s="67">
        <f>G769*EXP(-H769*'Externe blootstelling'!$D$23/2)*O769</f>
        <v>2.2080849213616371E-3</v>
      </c>
      <c r="Q769" s="68"/>
    </row>
    <row r="770" spans="1:17" x14ac:dyDescent="0.2">
      <c r="A770" s="220"/>
      <c r="B770" s="64" t="s">
        <v>104</v>
      </c>
      <c r="C770" s="66">
        <v>0.32387099999999996</v>
      </c>
      <c r="D770" s="66">
        <f t="shared" si="49"/>
        <v>5.1819359999999989E-14</v>
      </c>
      <c r="E770" s="66">
        <v>4.0599999999999997E-2</v>
      </c>
      <c r="F770" s="66">
        <f>_xlfn.IFNA(INDEX('hp (pSv cm2)'!$B$2:$B$52,MATCH($C770,'hp (pSv cm2)'!$A$2:$A$52,1))+($C770-INDEX('hp (pSv cm2)'!$A$2:$A$52,MATCH($C770,'hp (pSv cm2)'!$A$2:$A$52,1)))*(INDEX('hp (pSv cm2)'!$B$2:$B$52,MATCH($C770,'hp (pSv cm2)'!$A$2:$A$52,1)+1)-INDEX('hp (pSv cm2)'!$B$2:$B$52,MATCH($C770,'hp (pSv cm2)'!$A$2:$A$52,1)))/(INDEX('hp (pSv cm2)'!$A$2:$A$52,MATCH($C770,'hp (pSv cm2)'!$A$2:$A$52,1)+1)-INDEX('hp (pSv cm2)'!$A$2:$A$52,MATCH($C770,'hp (pSv cm2)'!$A$2:$A$52,1))),$C770*'hp (pSv cm2)'!$B$2/'hp (pSv cm2)'!$A$2)</f>
        <v>1.6269678999999999</v>
      </c>
      <c r="G770" s="67">
        <f t="shared" si="51"/>
        <v>6.6054896739999994E-2</v>
      </c>
      <c r="H770" s="83">
        <f>_xlfn.IFNA(0.997*(INDEX('Mass attenuation coefficients'!$B$2:$B$37,MATCH($C770,'Mass attenuation coefficients'!$A$2:$A$37,1))+($C770-INDEX('Mass attenuation coefficients'!$A$2:$A$37,MATCH($C770,'Mass attenuation coefficients'!$A$2:$A$37,1)))*(INDEX('Mass attenuation coefficients'!$B$2:$B$37,MATCH($C770,'Mass attenuation coefficients'!$A$2:$A$37,1)+1)-INDEX('Mass attenuation coefficients'!$B$2:$B$37,MATCH($C770,'Mass attenuation coefficients'!$A$2:$A$37,1)))/(INDEX('Mass attenuation coefficients'!$A$2:$A$37,MATCH($C770,'Mass attenuation coefficients'!$A$2:$A$37,1)+1)-INDEX('Mass attenuation coefficients'!$A$2:$A$37,MATCH($C770,'Mass attenuation coefficients'!$A$2:$A$37,1)))),0.997*$C770*'Mass attenuation coefficients'!$B$2/'Mass attenuation coefficients'!$A$2)</f>
        <v>0.115269276625</v>
      </c>
      <c r="I770" s="83">
        <f>_xlfn.IFNA(INDEX('Shultis Faw'!$C$2:$C$26,MATCH($C770,'Shultis Faw'!$A$2:$A$26,1))+($C770-INDEX('Shultis Faw'!$A$2:$A$26,MATCH($C770,'Shultis Faw'!$A$2:$A$26,1)))*(INDEX('Shultis Faw'!$C$2:$C$26,MATCH($C770,'Shultis Faw'!$A$2:$A$26,1)+1)-INDEX('Shultis Faw'!$C$2:$C$26,MATCH($C770,'Shultis Faw'!$A$2:$A$26,1)))/(INDEX('Shultis Faw'!$A$2:$A$26,MATCH($C770,'Shultis Faw'!$A$2:$A$26,1)+1)-INDEX('Shultis Faw'!$A$2:$A$26,MATCH($C770,'Shultis Faw'!$A$2:$A$26,1))),$C770*'Shultis Faw'!$C$2/'Shultis Faw'!$A$2)</f>
        <v>2.8579354000000001</v>
      </c>
      <c r="J770" s="83">
        <f>_xlfn.IFNA(INDEX('Shultis Faw'!$D$2:$D$26,MATCH($C770,'Shultis Faw'!$A$2:$A$26,1))+($C770-INDEX('Shultis Faw'!$A$2:$A$26,MATCH($C770,'Shultis Faw'!$A$2:$A$26,1)))*(INDEX('Shultis Faw'!$D$2:$D$26,MATCH($C770,'Shultis Faw'!$A$2:$A$26,1)+1)-INDEX('Shultis Faw'!$D$2:$D$26,MATCH($C770,'Shultis Faw'!$A$2:$A$26,1)))/(INDEX('Shultis Faw'!$A$2:$A$26,MATCH($C770,'Shultis Faw'!$A$2:$A$26,1)+1)-INDEX('Shultis Faw'!$A$2:$A$26,MATCH($C770,'Shultis Faw'!$A$2:$A$26,1))),$C770*'Shultis Faw'!$D$2/'Shultis Faw'!$A$2)</f>
        <v>1.9885805999999999</v>
      </c>
      <c r="K770" s="83">
        <f>_xlfn.IFNA(INDEX('Shultis Faw'!$B$2:$B$26,MATCH($C770,'Shultis Faw'!$A$2:$A$26,1))+($C770-INDEX('Shultis Faw'!$A$2:$A$26,MATCH($C770,'Shultis Faw'!$A$2:$A$26,1)))*(INDEX('Shultis Faw'!$B$2:$B$26,MATCH($C770,'Shultis Faw'!$A$2:$A$26,1)+1)-INDEX('Shultis Faw'!$B$2:$B$26,MATCH($C770,'Shultis Faw'!$A$2:$A$26,1)))/(INDEX('Shultis Faw'!$A$2:$A$26,MATCH($C770,'Shultis Faw'!$A$2:$A$26,1)+1)-INDEX('Shultis Faw'!$A$2:$A$26,MATCH($C770,'Shultis Faw'!$A$2:$A$26,1))),$C770*'Shultis Faw'!$B$2/'Shultis Faw'!$A$2)</f>
        <v>-0.16041935000000002</v>
      </c>
      <c r="L770" s="83">
        <f>_xlfn.IFNA(INDEX('Shultis Faw'!$E$2:$E$26,MATCH($C770,'Shultis Faw'!$A$2:$A$26,1))+($C770-INDEX('Shultis Faw'!$A$2:$A$26,MATCH($C770,'Shultis Faw'!$A$2:$A$26,1)))*(INDEX('Shultis Faw'!$E$2:$E$26,MATCH($C770,'Shultis Faw'!$A$2:$A$26,1)+1)-INDEX('Shultis Faw'!$E$2:$E$26,MATCH($C770,'Shultis Faw'!$A$2:$A$26,1)))/(INDEX('Shultis Faw'!$A$2:$A$26,MATCH($C770,'Shultis Faw'!$A$2:$A$26,1)+1)-INDEX('Shultis Faw'!$A$2:$A$26,MATCH($C770,'Shultis Faw'!$A$2:$A$26,1))),$C770*'Shultis Faw'!$E$2/'Shultis Faw'!$A$2)</f>
        <v>6.4067739999999998E-2</v>
      </c>
      <c r="M770" s="83">
        <f>_xlfn.IFNA(INDEX('Shultis Faw'!$F$2:$F$26,MATCH($C770,'Shultis Faw'!$A$2:$A$26,1))+($C770-INDEX('Shultis Faw'!$A$2:$A$26,MATCH($C770,'Shultis Faw'!$A$2:$A$26,1)))*(INDEX('Shultis Faw'!$F$2:$F$26,MATCH($C770,'Shultis Faw'!$A$2:$A$26,1)+1)-INDEX('Shultis Faw'!$F$2:$F$26,MATCH($C770,'Shultis Faw'!$A$2:$A$26,1)))/(INDEX('Shultis Faw'!$A$2:$A$26,MATCH($C770,'Shultis Faw'!$A$2:$A$26,1)+1)-INDEX('Shultis Faw'!$A$2:$A$26,MATCH($C770,'Shultis Faw'!$A$2:$A$26,1))),$C770*'Shultis Faw'!$F$2/'Shultis Faw'!$A$2)</f>
        <v>14.217161300000001</v>
      </c>
      <c r="N770" s="83">
        <f>J770*(H770*'Externe blootstelling'!$D$23/2)^K770+L770*(TANH(((H770*'Externe blootstelling'!$D$23)/(2*M770))-2)-TANH(-2))/(1-TANH(-2))</f>
        <v>1.821671169733639</v>
      </c>
      <c r="O770" s="83">
        <f>IF(N770=1,1+(I770-1)*H770*'Externe blootstelling'!$D$23/2,1+(I770-1)*(N770^(H770*'Externe blootstelling'!$D$23/2)-1)/(N770-1))</f>
        <v>5.1169927090702787</v>
      </c>
      <c r="P770" s="67">
        <f>G770*EXP(-H770*'Externe blootstelling'!$D$23/2)*O770</f>
        <v>5.9980164787349334E-2</v>
      </c>
      <c r="Q770" s="68"/>
    </row>
    <row r="771" spans="1:17" x14ac:dyDescent="0.2">
      <c r="A771" s="220"/>
      <c r="B771" s="64" t="s">
        <v>104</v>
      </c>
      <c r="C771" s="66">
        <v>0.32838000000000001</v>
      </c>
      <c r="D771" s="66">
        <f t="shared" si="49"/>
        <v>5.2540799999999997E-14</v>
      </c>
      <c r="E771" s="66">
        <v>2.0300000000000001E-3</v>
      </c>
      <c r="F771" s="66">
        <f>_xlfn.IFNA(INDEX('hp (pSv cm2)'!$B$2:$B$52,MATCH($C771,'hp (pSv cm2)'!$A$2:$A$52,1))+($C771-INDEX('hp (pSv cm2)'!$A$2:$A$52,MATCH($C771,'hp (pSv cm2)'!$A$2:$A$52,1)))*(INDEX('hp (pSv cm2)'!$B$2:$B$52,MATCH($C771,'hp (pSv cm2)'!$A$2:$A$52,1)+1)-INDEX('hp (pSv cm2)'!$B$2:$B$52,MATCH($C771,'hp (pSv cm2)'!$A$2:$A$52,1)))/(INDEX('hp (pSv cm2)'!$A$2:$A$52,MATCH($C771,'hp (pSv cm2)'!$A$2:$A$52,1)+1)-INDEX('hp (pSv cm2)'!$A$2:$A$52,MATCH($C771,'hp (pSv cm2)'!$A$2:$A$52,1))),$C771*'hp (pSv cm2)'!$B$2/'hp (pSv cm2)'!$A$2)</f>
        <v>1.649062</v>
      </c>
      <c r="G771" s="67">
        <f t="shared" si="51"/>
        <v>3.3475958600000001E-3</v>
      </c>
      <c r="H771" s="83">
        <f>_xlfn.IFNA(0.997*(INDEX('Mass attenuation coefficients'!$B$2:$B$37,MATCH($C771,'Mass attenuation coefficients'!$A$2:$A$37,1))+($C771-INDEX('Mass attenuation coefficients'!$A$2:$A$37,MATCH($C771,'Mass attenuation coefficients'!$A$2:$A$37,1)))*(INDEX('Mass attenuation coefficients'!$B$2:$B$37,MATCH($C771,'Mass attenuation coefficients'!$A$2:$A$37,1)+1)-INDEX('Mass attenuation coefficients'!$B$2:$B$37,MATCH($C771,'Mass attenuation coefficients'!$A$2:$A$37,1)))/(INDEX('Mass attenuation coefficients'!$A$2:$A$37,MATCH($C771,'Mass attenuation coefficients'!$A$2:$A$37,1)+1)-INDEX('Mass attenuation coefficients'!$A$2:$A$37,MATCH($C771,'Mass attenuation coefficients'!$A$2:$A$37,1)))),0.997*$C771*'Mass attenuation coefficients'!$B$2/'Mass attenuation coefficients'!$A$2)</f>
        <v>0.1147073425</v>
      </c>
      <c r="I771" s="83">
        <f>_xlfn.IFNA(INDEX('Shultis Faw'!$C$2:$C$26,MATCH($C771,'Shultis Faw'!$A$2:$A$26,1))+($C771-INDEX('Shultis Faw'!$A$2:$A$26,MATCH($C771,'Shultis Faw'!$A$2:$A$26,1)))*(INDEX('Shultis Faw'!$C$2:$C$26,MATCH($C771,'Shultis Faw'!$A$2:$A$26,1)+1)-INDEX('Shultis Faw'!$C$2:$C$26,MATCH($C771,'Shultis Faw'!$A$2:$A$26,1)))/(INDEX('Shultis Faw'!$A$2:$A$26,MATCH($C771,'Shultis Faw'!$A$2:$A$26,1)+1)-INDEX('Shultis Faw'!$A$2:$A$26,MATCH($C771,'Shultis Faw'!$A$2:$A$26,1))),$C771*'Shultis Faw'!$C$2/'Shultis Faw'!$A$2)</f>
        <v>2.846212</v>
      </c>
      <c r="J771" s="83">
        <f>_xlfn.IFNA(INDEX('Shultis Faw'!$D$2:$D$26,MATCH($C771,'Shultis Faw'!$A$2:$A$26,1))+($C771-INDEX('Shultis Faw'!$A$2:$A$26,MATCH($C771,'Shultis Faw'!$A$2:$A$26,1)))*(INDEX('Shultis Faw'!$D$2:$D$26,MATCH($C771,'Shultis Faw'!$A$2:$A$26,1)+1)-INDEX('Shultis Faw'!$D$2:$D$26,MATCH($C771,'Shultis Faw'!$A$2:$A$26,1)))/(INDEX('Shultis Faw'!$A$2:$A$26,MATCH($C771,'Shultis Faw'!$A$2:$A$26,1)+1)-INDEX('Shultis Faw'!$A$2:$A$26,MATCH($C771,'Shultis Faw'!$A$2:$A$26,1))),$C771*'Shultis Faw'!$D$2/'Shultis Faw'!$A$2)</f>
        <v>1.9822679999999999</v>
      </c>
      <c r="K771" s="83">
        <f>_xlfn.IFNA(INDEX('Shultis Faw'!$B$2:$B$26,MATCH($C771,'Shultis Faw'!$A$2:$A$26,1))+($C771-INDEX('Shultis Faw'!$A$2:$A$26,MATCH($C771,'Shultis Faw'!$A$2:$A$26,1)))*(INDEX('Shultis Faw'!$B$2:$B$26,MATCH($C771,'Shultis Faw'!$A$2:$A$26,1)+1)-INDEX('Shultis Faw'!$B$2:$B$26,MATCH($C771,'Shultis Faw'!$A$2:$A$26,1)))/(INDEX('Shultis Faw'!$A$2:$A$26,MATCH($C771,'Shultis Faw'!$A$2:$A$26,1)+1)-INDEX('Shultis Faw'!$A$2:$A$26,MATCH($C771,'Shultis Faw'!$A$2:$A$26,1))),$C771*'Shultis Faw'!$B$2/'Shultis Faw'!$A$2)</f>
        <v>-0.159743</v>
      </c>
      <c r="L771" s="83">
        <f>_xlfn.IFNA(INDEX('Shultis Faw'!$E$2:$E$26,MATCH($C771,'Shultis Faw'!$A$2:$A$26,1))+($C771-INDEX('Shultis Faw'!$A$2:$A$26,MATCH($C771,'Shultis Faw'!$A$2:$A$26,1)))*(INDEX('Shultis Faw'!$E$2:$E$26,MATCH($C771,'Shultis Faw'!$A$2:$A$26,1)+1)-INDEX('Shultis Faw'!$E$2:$E$26,MATCH($C771,'Shultis Faw'!$A$2:$A$26,1)))/(INDEX('Shultis Faw'!$A$2:$A$26,MATCH($C771,'Shultis Faw'!$A$2:$A$26,1)+1)-INDEX('Shultis Faw'!$A$2:$A$26,MATCH($C771,'Shultis Faw'!$A$2:$A$26,1))),$C771*'Shultis Faw'!$E$2/'Shultis Faw'!$A$2)</f>
        <v>6.3797199999999998E-2</v>
      </c>
      <c r="M771" s="83">
        <f>_xlfn.IFNA(INDEX('Shultis Faw'!$F$2:$F$26,MATCH($C771,'Shultis Faw'!$A$2:$A$26,1))+($C771-INDEX('Shultis Faw'!$A$2:$A$26,MATCH($C771,'Shultis Faw'!$A$2:$A$26,1)))*(INDEX('Shultis Faw'!$F$2:$F$26,MATCH($C771,'Shultis Faw'!$A$2:$A$26,1)+1)-INDEX('Shultis Faw'!$F$2:$F$26,MATCH($C771,'Shultis Faw'!$A$2:$A$26,1)))/(INDEX('Shultis Faw'!$A$2:$A$26,MATCH($C771,'Shultis Faw'!$A$2:$A$26,1)+1)-INDEX('Shultis Faw'!$A$2:$A$26,MATCH($C771,'Shultis Faw'!$A$2:$A$26,1))),$C771*'Shultis Faw'!$F$2/'Shultis Faw'!$A$2)</f>
        <v>14.218514000000001</v>
      </c>
      <c r="N771" s="83">
        <f>J771*(H771*'Externe blootstelling'!$D$23/2)^K771+L771*(TANH(((H771*'Externe blootstelling'!$D$23)/(2*M771))-2)-TANH(-2))/(1-TANH(-2))</f>
        <v>1.8179772446804181</v>
      </c>
      <c r="O771" s="83">
        <f>IF(N771=1,1+(I771-1)*H771*'Externe blootstelling'!$D$23/2,1+(I771-1)*(N771^(H771*'Externe blootstelling'!$D$23/2)-1)/(N771-1))</f>
        <v>5.0553011682403239</v>
      </c>
      <c r="P771" s="67">
        <f>G771*EXP(-H771*'Externe blootstelling'!$D$23/2)*O771</f>
        <v>3.0285069004895877E-3</v>
      </c>
      <c r="Q771" s="68"/>
    </row>
    <row r="772" spans="1:17" x14ac:dyDescent="0.2">
      <c r="A772" s="220"/>
      <c r="B772" s="64" t="s">
        <v>104</v>
      </c>
      <c r="C772" s="66">
        <v>0.33400999999999997</v>
      </c>
      <c r="D772" s="66">
        <f t="shared" si="49"/>
        <v>5.34416E-14</v>
      </c>
      <c r="E772" s="66">
        <v>1E-3</v>
      </c>
      <c r="F772" s="66">
        <f>_xlfn.IFNA(INDEX('hp (pSv cm2)'!$B$2:$B$52,MATCH($C772,'hp (pSv cm2)'!$A$2:$A$52,1))+($C772-INDEX('hp (pSv cm2)'!$A$2:$A$52,MATCH($C772,'hp (pSv cm2)'!$A$2:$A$52,1)))*(INDEX('hp (pSv cm2)'!$B$2:$B$52,MATCH($C772,'hp (pSv cm2)'!$A$2:$A$52,1)+1)-INDEX('hp (pSv cm2)'!$B$2:$B$52,MATCH($C772,'hp (pSv cm2)'!$A$2:$A$52,1)))/(INDEX('hp (pSv cm2)'!$A$2:$A$52,MATCH($C772,'hp (pSv cm2)'!$A$2:$A$52,1)+1)-INDEX('hp (pSv cm2)'!$A$2:$A$52,MATCH($C772,'hp (pSv cm2)'!$A$2:$A$52,1))),$C772*'hp (pSv cm2)'!$B$2/'hp (pSv cm2)'!$A$2)</f>
        <v>1.6766489999999998</v>
      </c>
      <c r="G772" s="67">
        <f t="shared" si="51"/>
        <v>1.6766489999999999E-3</v>
      </c>
      <c r="H772" s="83">
        <f>_xlfn.IFNA(0.997*(INDEX('Mass attenuation coefficients'!$B$2:$B$37,MATCH($C772,'Mass attenuation coefficients'!$A$2:$A$37,1))+($C772-INDEX('Mass attenuation coefficients'!$A$2:$A$37,MATCH($C772,'Mass attenuation coefficients'!$A$2:$A$37,1)))*(INDEX('Mass attenuation coefficients'!$B$2:$B$37,MATCH($C772,'Mass attenuation coefficients'!$A$2:$A$37,1)+1)-INDEX('Mass attenuation coefficients'!$B$2:$B$37,MATCH($C772,'Mass attenuation coefficients'!$A$2:$A$37,1)))/(INDEX('Mass attenuation coefficients'!$A$2:$A$37,MATCH($C772,'Mass attenuation coefficients'!$A$2:$A$37,1)+1)-INDEX('Mass attenuation coefficients'!$A$2:$A$37,MATCH($C772,'Mass attenuation coefficients'!$A$2:$A$37,1)))),0.997*$C772*'Mass attenuation coefficients'!$B$2/'Mass attenuation coefficients'!$A$2)</f>
        <v>0.11400570374999999</v>
      </c>
      <c r="I772" s="83">
        <f>_xlfn.IFNA(INDEX('Shultis Faw'!$C$2:$C$26,MATCH($C772,'Shultis Faw'!$A$2:$A$26,1))+($C772-INDEX('Shultis Faw'!$A$2:$A$26,MATCH($C772,'Shultis Faw'!$A$2:$A$26,1)))*(INDEX('Shultis Faw'!$C$2:$C$26,MATCH($C772,'Shultis Faw'!$A$2:$A$26,1)+1)-INDEX('Shultis Faw'!$C$2:$C$26,MATCH($C772,'Shultis Faw'!$A$2:$A$26,1)))/(INDEX('Shultis Faw'!$A$2:$A$26,MATCH($C772,'Shultis Faw'!$A$2:$A$26,1)+1)-INDEX('Shultis Faw'!$A$2:$A$26,MATCH($C772,'Shultis Faw'!$A$2:$A$26,1))),$C772*'Shultis Faw'!$C$2/'Shultis Faw'!$A$2)</f>
        <v>2.8315740000000003</v>
      </c>
      <c r="J772" s="83">
        <f>_xlfn.IFNA(INDEX('Shultis Faw'!$D$2:$D$26,MATCH($C772,'Shultis Faw'!$A$2:$A$26,1))+($C772-INDEX('Shultis Faw'!$A$2:$A$26,MATCH($C772,'Shultis Faw'!$A$2:$A$26,1)))*(INDEX('Shultis Faw'!$D$2:$D$26,MATCH($C772,'Shultis Faw'!$A$2:$A$26,1)+1)-INDEX('Shultis Faw'!$D$2:$D$26,MATCH($C772,'Shultis Faw'!$A$2:$A$26,1)))/(INDEX('Shultis Faw'!$A$2:$A$26,MATCH($C772,'Shultis Faw'!$A$2:$A$26,1)+1)-INDEX('Shultis Faw'!$A$2:$A$26,MATCH($C772,'Shultis Faw'!$A$2:$A$26,1))),$C772*'Shultis Faw'!$D$2/'Shultis Faw'!$A$2)</f>
        <v>1.974386</v>
      </c>
      <c r="K772" s="83">
        <f>_xlfn.IFNA(INDEX('Shultis Faw'!$B$2:$B$26,MATCH($C772,'Shultis Faw'!$A$2:$A$26,1))+($C772-INDEX('Shultis Faw'!$A$2:$A$26,MATCH($C772,'Shultis Faw'!$A$2:$A$26,1)))*(INDEX('Shultis Faw'!$B$2:$B$26,MATCH($C772,'Shultis Faw'!$A$2:$A$26,1)+1)-INDEX('Shultis Faw'!$B$2:$B$26,MATCH($C772,'Shultis Faw'!$A$2:$A$26,1)))/(INDEX('Shultis Faw'!$A$2:$A$26,MATCH($C772,'Shultis Faw'!$A$2:$A$26,1)+1)-INDEX('Shultis Faw'!$A$2:$A$26,MATCH($C772,'Shultis Faw'!$A$2:$A$26,1))),$C772*'Shultis Faw'!$B$2/'Shultis Faw'!$A$2)</f>
        <v>-0.1588985</v>
      </c>
      <c r="L772" s="83">
        <f>_xlfn.IFNA(INDEX('Shultis Faw'!$E$2:$E$26,MATCH($C772,'Shultis Faw'!$A$2:$A$26,1))+($C772-INDEX('Shultis Faw'!$A$2:$A$26,MATCH($C772,'Shultis Faw'!$A$2:$A$26,1)))*(INDEX('Shultis Faw'!$E$2:$E$26,MATCH($C772,'Shultis Faw'!$A$2:$A$26,1)+1)-INDEX('Shultis Faw'!$E$2:$E$26,MATCH($C772,'Shultis Faw'!$A$2:$A$26,1)))/(INDEX('Shultis Faw'!$A$2:$A$26,MATCH($C772,'Shultis Faw'!$A$2:$A$26,1)+1)-INDEX('Shultis Faw'!$A$2:$A$26,MATCH($C772,'Shultis Faw'!$A$2:$A$26,1))),$C772*'Shultis Faw'!$E$2/'Shultis Faw'!$A$2)</f>
        <v>6.3459399999999999E-2</v>
      </c>
      <c r="M772" s="83">
        <f>_xlfn.IFNA(INDEX('Shultis Faw'!$F$2:$F$26,MATCH($C772,'Shultis Faw'!$A$2:$A$26,1))+($C772-INDEX('Shultis Faw'!$A$2:$A$26,MATCH($C772,'Shultis Faw'!$A$2:$A$26,1)))*(INDEX('Shultis Faw'!$F$2:$F$26,MATCH($C772,'Shultis Faw'!$A$2:$A$26,1)+1)-INDEX('Shultis Faw'!$F$2:$F$26,MATCH($C772,'Shultis Faw'!$A$2:$A$26,1)))/(INDEX('Shultis Faw'!$A$2:$A$26,MATCH($C772,'Shultis Faw'!$A$2:$A$26,1)+1)-INDEX('Shultis Faw'!$A$2:$A$26,MATCH($C772,'Shultis Faw'!$A$2:$A$26,1))),$C772*'Shultis Faw'!$F$2/'Shultis Faw'!$A$2)</f>
        <v>14.220203000000001</v>
      </c>
      <c r="N772" s="83">
        <f>J772*(H772*'Externe blootstelling'!$D$23/2)^K772+L772*(TANH(((H772*'Externe blootstelling'!$D$23)/(2*M772))-2)-TANH(-2))/(1-TANH(-2))</f>
        <v>1.8133425438207218</v>
      </c>
      <c r="O772" s="83">
        <f>IF(N772=1,1+(I772-1)*H772*'Externe blootstelling'!$D$23/2,1+(I772-1)*(N772^(H772*'Externe blootstelling'!$D$23/2)-1)/(N772-1))</f>
        <v>4.9793182189457585</v>
      </c>
      <c r="P772" s="67">
        <f>G772*EXP(-H772*'Externe blootstelling'!$D$23/2)*O772</f>
        <v>1.5098413516836263E-3</v>
      </c>
      <c r="Q772" s="68"/>
    </row>
    <row r="773" spans="1:17" x14ac:dyDescent="0.2">
      <c r="A773" s="220"/>
      <c r="B773" s="64" t="s">
        <v>104</v>
      </c>
      <c r="C773" s="66">
        <v>0.33828199999999997</v>
      </c>
      <c r="D773" s="66">
        <f t="shared" si="49"/>
        <v>5.4125119999999994E-14</v>
      </c>
      <c r="E773" s="66">
        <v>2.8500000000000001E-2</v>
      </c>
      <c r="F773" s="66">
        <f>_xlfn.IFNA(INDEX('hp (pSv cm2)'!$B$2:$B$52,MATCH($C773,'hp (pSv cm2)'!$A$2:$A$52,1))+($C773-INDEX('hp (pSv cm2)'!$A$2:$A$52,MATCH($C773,'hp (pSv cm2)'!$A$2:$A$52,1)))*(INDEX('hp (pSv cm2)'!$B$2:$B$52,MATCH($C773,'hp (pSv cm2)'!$A$2:$A$52,1)+1)-INDEX('hp (pSv cm2)'!$B$2:$B$52,MATCH($C773,'hp (pSv cm2)'!$A$2:$A$52,1)))/(INDEX('hp (pSv cm2)'!$A$2:$A$52,MATCH($C773,'hp (pSv cm2)'!$A$2:$A$52,1)+1)-INDEX('hp (pSv cm2)'!$A$2:$A$52,MATCH($C773,'hp (pSv cm2)'!$A$2:$A$52,1))),$C773*'hp (pSv cm2)'!$B$2/'hp (pSv cm2)'!$A$2)</f>
        <v>1.6975817999999998</v>
      </c>
      <c r="G773" s="67">
        <f t="shared" si="51"/>
        <v>4.8381081299999996E-2</v>
      </c>
      <c r="H773" s="83">
        <f>_xlfn.IFNA(0.997*(INDEX('Mass attenuation coefficients'!$B$2:$B$37,MATCH($C773,'Mass attenuation coefficients'!$A$2:$A$37,1))+($C773-INDEX('Mass attenuation coefficients'!$A$2:$A$37,MATCH($C773,'Mass attenuation coefficients'!$A$2:$A$37,1)))*(INDEX('Mass attenuation coefficients'!$B$2:$B$37,MATCH($C773,'Mass attenuation coefficients'!$A$2:$A$37,1)+1)-INDEX('Mass attenuation coefficients'!$B$2:$B$37,MATCH($C773,'Mass attenuation coefficients'!$A$2:$A$37,1)))/(INDEX('Mass attenuation coefficients'!$A$2:$A$37,MATCH($C773,'Mass attenuation coefficients'!$A$2:$A$37,1)+1)-INDEX('Mass attenuation coefficients'!$A$2:$A$37,MATCH($C773,'Mass attenuation coefficients'!$A$2:$A$37,1)))),0.997*$C773*'Mass attenuation coefficients'!$B$2/'Mass attenuation coefficients'!$A$2)</f>
        <v>0.11347330575</v>
      </c>
      <c r="I773" s="83">
        <f>_xlfn.IFNA(INDEX('Shultis Faw'!$C$2:$C$26,MATCH($C773,'Shultis Faw'!$A$2:$A$26,1))+($C773-INDEX('Shultis Faw'!$A$2:$A$26,MATCH($C773,'Shultis Faw'!$A$2:$A$26,1)))*(INDEX('Shultis Faw'!$C$2:$C$26,MATCH($C773,'Shultis Faw'!$A$2:$A$26,1)+1)-INDEX('Shultis Faw'!$C$2:$C$26,MATCH($C773,'Shultis Faw'!$A$2:$A$26,1)))/(INDEX('Shultis Faw'!$A$2:$A$26,MATCH($C773,'Shultis Faw'!$A$2:$A$26,1)+1)-INDEX('Shultis Faw'!$A$2:$A$26,MATCH($C773,'Shultis Faw'!$A$2:$A$26,1))),$C773*'Shultis Faw'!$C$2/'Shultis Faw'!$A$2)</f>
        <v>2.8204668000000002</v>
      </c>
      <c r="J773" s="83">
        <f>_xlfn.IFNA(INDEX('Shultis Faw'!$D$2:$D$26,MATCH($C773,'Shultis Faw'!$A$2:$A$26,1))+($C773-INDEX('Shultis Faw'!$A$2:$A$26,MATCH($C773,'Shultis Faw'!$A$2:$A$26,1)))*(INDEX('Shultis Faw'!$D$2:$D$26,MATCH($C773,'Shultis Faw'!$A$2:$A$26,1)+1)-INDEX('Shultis Faw'!$D$2:$D$26,MATCH($C773,'Shultis Faw'!$A$2:$A$26,1)))/(INDEX('Shultis Faw'!$A$2:$A$26,MATCH($C773,'Shultis Faw'!$A$2:$A$26,1)+1)-INDEX('Shultis Faw'!$A$2:$A$26,MATCH($C773,'Shultis Faw'!$A$2:$A$26,1))),$C773*'Shultis Faw'!$D$2/'Shultis Faw'!$A$2)</f>
        <v>1.9684051999999999</v>
      </c>
      <c r="K773" s="83">
        <f>_xlfn.IFNA(INDEX('Shultis Faw'!$B$2:$B$26,MATCH($C773,'Shultis Faw'!$A$2:$A$26,1))+($C773-INDEX('Shultis Faw'!$A$2:$A$26,MATCH($C773,'Shultis Faw'!$A$2:$A$26,1)))*(INDEX('Shultis Faw'!$B$2:$B$26,MATCH($C773,'Shultis Faw'!$A$2:$A$26,1)+1)-INDEX('Shultis Faw'!$B$2:$B$26,MATCH($C773,'Shultis Faw'!$A$2:$A$26,1)))/(INDEX('Shultis Faw'!$A$2:$A$26,MATCH($C773,'Shultis Faw'!$A$2:$A$26,1)+1)-INDEX('Shultis Faw'!$A$2:$A$26,MATCH($C773,'Shultis Faw'!$A$2:$A$26,1))),$C773*'Shultis Faw'!$B$2/'Shultis Faw'!$A$2)</f>
        <v>-0.1582577</v>
      </c>
      <c r="L773" s="83">
        <f>_xlfn.IFNA(INDEX('Shultis Faw'!$E$2:$E$26,MATCH($C773,'Shultis Faw'!$A$2:$A$26,1))+($C773-INDEX('Shultis Faw'!$A$2:$A$26,MATCH($C773,'Shultis Faw'!$A$2:$A$26,1)))*(INDEX('Shultis Faw'!$E$2:$E$26,MATCH($C773,'Shultis Faw'!$A$2:$A$26,1)+1)-INDEX('Shultis Faw'!$E$2:$E$26,MATCH($C773,'Shultis Faw'!$A$2:$A$26,1)))/(INDEX('Shultis Faw'!$A$2:$A$26,MATCH($C773,'Shultis Faw'!$A$2:$A$26,1)+1)-INDEX('Shultis Faw'!$A$2:$A$26,MATCH($C773,'Shultis Faw'!$A$2:$A$26,1))),$C773*'Shultis Faw'!$E$2/'Shultis Faw'!$A$2)</f>
        <v>6.3203080000000009E-2</v>
      </c>
      <c r="M773" s="83">
        <f>_xlfn.IFNA(INDEX('Shultis Faw'!$F$2:$F$26,MATCH($C773,'Shultis Faw'!$A$2:$A$26,1))+($C773-INDEX('Shultis Faw'!$A$2:$A$26,MATCH($C773,'Shultis Faw'!$A$2:$A$26,1)))*(INDEX('Shultis Faw'!$F$2:$F$26,MATCH($C773,'Shultis Faw'!$A$2:$A$26,1)+1)-INDEX('Shultis Faw'!$F$2:$F$26,MATCH($C773,'Shultis Faw'!$A$2:$A$26,1)))/(INDEX('Shultis Faw'!$A$2:$A$26,MATCH($C773,'Shultis Faw'!$A$2:$A$26,1)+1)-INDEX('Shultis Faw'!$A$2:$A$26,MATCH($C773,'Shultis Faw'!$A$2:$A$26,1))),$C773*'Shultis Faw'!$F$2/'Shultis Faw'!$A$2)</f>
        <v>14.2214846</v>
      </c>
      <c r="N773" s="83">
        <f>J773*(H773*'Externe blootstelling'!$D$23/2)^K773+L773*(TANH(((H773*'Externe blootstelling'!$D$23)/(2*M773))-2)-TANH(-2))/(1-TANH(-2))</f>
        <v>1.8098091481048744</v>
      </c>
      <c r="O773" s="83">
        <f>IF(N773=1,1+(I773-1)*H773*'Externe blootstelling'!$D$23/2,1+(I773-1)*(N773^(H773*'Externe blootstelling'!$D$23/2)-1)/(N773-1))</f>
        <v>4.9224289370209204</v>
      </c>
      <c r="P773" s="67">
        <f>G773*EXP(-H773*'Externe blootstelling'!$D$23/2)*O773</f>
        <v>4.3415276136851914E-2</v>
      </c>
      <c r="Q773" s="68"/>
    </row>
    <row r="774" spans="1:17" x14ac:dyDescent="0.2">
      <c r="A774" s="220"/>
      <c r="B774" s="64" t="s">
        <v>104</v>
      </c>
      <c r="C774" s="66">
        <v>0.34277999999999997</v>
      </c>
      <c r="D774" s="66">
        <f t="shared" si="49"/>
        <v>5.4844799999999997E-14</v>
      </c>
      <c r="E774" s="66">
        <v>2.2599999999999999E-3</v>
      </c>
      <c r="F774" s="66">
        <f>_xlfn.IFNA(INDEX('hp (pSv cm2)'!$B$2:$B$52,MATCH($C774,'hp (pSv cm2)'!$A$2:$A$52,1))+($C774-INDEX('hp (pSv cm2)'!$A$2:$A$52,MATCH($C774,'hp (pSv cm2)'!$A$2:$A$52,1)))*(INDEX('hp (pSv cm2)'!$B$2:$B$52,MATCH($C774,'hp (pSv cm2)'!$A$2:$A$52,1)+1)-INDEX('hp (pSv cm2)'!$B$2:$B$52,MATCH($C774,'hp (pSv cm2)'!$A$2:$A$52,1)))/(INDEX('hp (pSv cm2)'!$A$2:$A$52,MATCH($C774,'hp (pSv cm2)'!$A$2:$A$52,1)+1)-INDEX('hp (pSv cm2)'!$A$2:$A$52,MATCH($C774,'hp (pSv cm2)'!$A$2:$A$52,1))),$C774*'hp (pSv cm2)'!$B$2/'hp (pSv cm2)'!$A$2)</f>
        <v>1.7196219999999998</v>
      </c>
      <c r="G774" s="67">
        <f t="shared" si="51"/>
        <v>3.8863457199999991E-3</v>
      </c>
      <c r="H774" s="83">
        <f>_xlfn.IFNA(0.997*(INDEX('Mass attenuation coefficients'!$B$2:$B$37,MATCH($C774,'Mass attenuation coefficients'!$A$2:$A$37,1))+($C774-INDEX('Mass attenuation coefficients'!$A$2:$A$37,MATCH($C774,'Mass attenuation coefficients'!$A$2:$A$37,1)))*(INDEX('Mass attenuation coefficients'!$B$2:$B$37,MATCH($C774,'Mass attenuation coefficients'!$A$2:$A$37,1)+1)-INDEX('Mass attenuation coefficients'!$B$2:$B$37,MATCH($C774,'Mass attenuation coefficients'!$A$2:$A$37,1)))/(INDEX('Mass attenuation coefficients'!$A$2:$A$37,MATCH($C774,'Mass attenuation coefficients'!$A$2:$A$37,1)+1)-INDEX('Mass attenuation coefficients'!$A$2:$A$37,MATCH($C774,'Mass attenuation coefficients'!$A$2:$A$37,1)))),0.997*$C774*'Mass attenuation coefficients'!$B$2/'Mass attenuation coefficients'!$A$2)</f>
        <v>0.11291274250000001</v>
      </c>
      <c r="I774" s="83">
        <f>_xlfn.IFNA(INDEX('Shultis Faw'!$C$2:$C$26,MATCH($C774,'Shultis Faw'!$A$2:$A$26,1))+($C774-INDEX('Shultis Faw'!$A$2:$A$26,MATCH($C774,'Shultis Faw'!$A$2:$A$26,1)))*(INDEX('Shultis Faw'!$C$2:$C$26,MATCH($C774,'Shultis Faw'!$A$2:$A$26,1)+1)-INDEX('Shultis Faw'!$C$2:$C$26,MATCH($C774,'Shultis Faw'!$A$2:$A$26,1)))/(INDEX('Shultis Faw'!$A$2:$A$26,MATCH($C774,'Shultis Faw'!$A$2:$A$26,1)+1)-INDEX('Shultis Faw'!$A$2:$A$26,MATCH($C774,'Shultis Faw'!$A$2:$A$26,1))),$C774*'Shultis Faw'!$C$2/'Shultis Faw'!$A$2)</f>
        <v>2.8087720000000003</v>
      </c>
      <c r="J774" s="83">
        <f>_xlfn.IFNA(INDEX('Shultis Faw'!$D$2:$D$26,MATCH($C774,'Shultis Faw'!$A$2:$A$26,1))+($C774-INDEX('Shultis Faw'!$A$2:$A$26,MATCH($C774,'Shultis Faw'!$A$2:$A$26,1)))*(INDEX('Shultis Faw'!$D$2:$D$26,MATCH($C774,'Shultis Faw'!$A$2:$A$26,1)+1)-INDEX('Shultis Faw'!$D$2:$D$26,MATCH($C774,'Shultis Faw'!$A$2:$A$26,1)))/(INDEX('Shultis Faw'!$A$2:$A$26,MATCH($C774,'Shultis Faw'!$A$2:$A$26,1)+1)-INDEX('Shultis Faw'!$A$2:$A$26,MATCH($C774,'Shultis Faw'!$A$2:$A$26,1))),$C774*'Shultis Faw'!$D$2/'Shultis Faw'!$A$2)</f>
        <v>1.962108</v>
      </c>
      <c r="K774" s="83">
        <f>_xlfn.IFNA(INDEX('Shultis Faw'!$B$2:$B$26,MATCH($C774,'Shultis Faw'!$A$2:$A$26,1))+($C774-INDEX('Shultis Faw'!$A$2:$A$26,MATCH($C774,'Shultis Faw'!$A$2:$A$26,1)))*(INDEX('Shultis Faw'!$B$2:$B$26,MATCH($C774,'Shultis Faw'!$A$2:$A$26,1)+1)-INDEX('Shultis Faw'!$B$2:$B$26,MATCH($C774,'Shultis Faw'!$A$2:$A$26,1)))/(INDEX('Shultis Faw'!$A$2:$A$26,MATCH($C774,'Shultis Faw'!$A$2:$A$26,1)+1)-INDEX('Shultis Faw'!$A$2:$A$26,MATCH($C774,'Shultis Faw'!$A$2:$A$26,1))),$C774*'Shultis Faw'!$B$2/'Shultis Faw'!$A$2)</f>
        <v>-0.157583</v>
      </c>
      <c r="L774" s="83">
        <f>_xlfn.IFNA(INDEX('Shultis Faw'!$E$2:$E$26,MATCH($C774,'Shultis Faw'!$A$2:$A$26,1))+($C774-INDEX('Shultis Faw'!$A$2:$A$26,MATCH($C774,'Shultis Faw'!$A$2:$A$26,1)))*(INDEX('Shultis Faw'!$E$2:$E$26,MATCH($C774,'Shultis Faw'!$A$2:$A$26,1)+1)-INDEX('Shultis Faw'!$E$2:$E$26,MATCH($C774,'Shultis Faw'!$A$2:$A$26,1)))/(INDEX('Shultis Faw'!$A$2:$A$26,MATCH($C774,'Shultis Faw'!$A$2:$A$26,1)+1)-INDEX('Shultis Faw'!$A$2:$A$26,MATCH($C774,'Shultis Faw'!$A$2:$A$26,1))),$C774*'Shultis Faw'!$E$2/'Shultis Faw'!$A$2)</f>
        <v>6.2933200000000009E-2</v>
      </c>
      <c r="M774" s="83">
        <f>_xlfn.IFNA(INDEX('Shultis Faw'!$F$2:$F$26,MATCH($C774,'Shultis Faw'!$A$2:$A$26,1))+($C774-INDEX('Shultis Faw'!$A$2:$A$26,MATCH($C774,'Shultis Faw'!$A$2:$A$26,1)))*(INDEX('Shultis Faw'!$F$2:$F$26,MATCH($C774,'Shultis Faw'!$A$2:$A$26,1)+1)-INDEX('Shultis Faw'!$F$2:$F$26,MATCH($C774,'Shultis Faw'!$A$2:$A$26,1)))/(INDEX('Shultis Faw'!$A$2:$A$26,MATCH($C774,'Shultis Faw'!$A$2:$A$26,1)+1)-INDEX('Shultis Faw'!$A$2:$A$26,MATCH($C774,'Shultis Faw'!$A$2:$A$26,1))),$C774*'Shultis Faw'!$F$2/'Shultis Faw'!$A$2)</f>
        <v>14.222834000000001</v>
      </c>
      <c r="N774" s="83">
        <f>J774*(H774*'Externe blootstelling'!$D$23/2)^K774+L774*(TANH(((H774*'Externe blootstelling'!$D$23)/(2*M774))-2)-TANH(-2))/(1-TANH(-2))</f>
        <v>1.8060733174859487</v>
      </c>
      <c r="O774" s="83">
        <f>IF(N774=1,1+(I774-1)*H774*'Externe blootstelling'!$D$23/2,1+(I774-1)*(N774^(H774*'Externe blootstelling'!$D$23/2)-1)/(N774-1))</f>
        <v>4.8632359557695386</v>
      </c>
      <c r="P774" s="67">
        <f>G774*EXP(-H774*'Externe blootstelling'!$D$23/2)*O774</f>
        <v>3.4746099422383351E-3</v>
      </c>
      <c r="Q774" s="68"/>
    </row>
    <row r="775" spans="1:17" x14ac:dyDescent="0.2">
      <c r="A775" s="220"/>
      <c r="B775" s="64" t="s">
        <v>104</v>
      </c>
      <c r="C775" s="66">
        <v>0.35549999999999998</v>
      </c>
      <c r="D775" s="66">
        <f t="shared" si="49"/>
        <v>5.6879999999999993E-14</v>
      </c>
      <c r="E775" s="66">
        <v>4.3000000000000002E-5</v>
      </c>
      <c r="F775" s="66">
        <f>_xlfn.IFNA(INDEX('hp (pSv cm2)'!$B$2:$B$52,MATCH($C775,'hp (pSv cm2)'!$A$2:$A$52,1))+($C775-INDEX('hp (pSv cm2)'!$A$2:$A$52,MATCH($C775,'hp (pSv cm2)'!$A$2:$A$52,1)))*(INDEX('hp (pSv cm2)'!$B$2:$B$52,MATCH($C775,'hp (pSv cm2)'!$A$2:$A$52,1)+1)-INDEX('hp (pSv cm2)'!$B$2:$B$52,MATCH($C775,'hp (pSv cm2)'!$A$2:$A$52,1)))/(INDEX('hp (pSv cm2)'!$A$2:$A$52,MATCH($C775,'hp (pSv cm2)'!$A$2:$A$52,1)+1)-INDEX('hp (pSv cm2)'!$A$2:$A$52,MATCH($C775,'hp (pSv cm2)'!$A$2:$A$52,1))),$C775*'hp (pSv cm2)'!$B$2/'hp (pSv cm2)'!$A$2)</f>
        <v>1.7819499999999999</v>
      </c>
      <c r="G775" s="67">
        <f t="shared" si="51"/>
        <v>7.6623849999999993E-5</v>
      </c>
      <c r="H775" s="83">
        <f>_xlfn.IFNA(0.997*(INDEX('Mass attenuation coefficients'!$B$2:$B$37,MATCH($C775,'Mass attenuation coefficients'!$A$2:$A$37,1))+($C775-INDEX('Mass attenuation coefficients'!$A$2:$A$37,MATCH($C775,'Mass attenuation coefficients'!$A$2:$A$37,1)))*(INDEX('Mass attenuation coefficients'!$B$2:$B$37,MATCH($C775,'Mass attenuation coefficients'!$A$2:$A$37,1)+1)-INDEX('Mass attenuation coefficients'!$B$2:$B$37,MATCH($C775,'Mass attenuation coefficients'!$A$2:$A$37,1)))/(INDEX('Mass attenuation coefficients'!$A$2:$A$37,MATCH($C775,'Mass attenuation coefficients'!$A$2:$A$37,1)+1)-INDEX('Mass attenuation coefficients'!$A$2:$A$37,MATCH($C775,'Mass attenuation coefficients'!$A$2:$A$37,1)))),0.997*$C775*'Mass attenuation coefficients'!$B$2/'Mass attenuation coefficients'!$A$2)</f>
        <v>0.1113275125</v>
      </c>
      <c r="I775" s="83">
        <f>_xlfn.IFNA(INDEX('Shultis Faw'!$C$2:$C$26,MATCH($C775,'Shultis Faw'!$A$2:$A$26,1))+($C775-INDEX('Shultis Faw'!$A$2:$A$26,MATCH($C775,'Shultis Faw'!$A$2:$A$26,1)))*(INDEX('Shultis Faw'!$C$2:$C$26,MATCH($C775,'Shultis Faw'!$A$2:$A$26,1)+1)-INDEX('Shultis Faw'!$C$2:$C$26,MATCH($C775,'Shultis Faw'!$A$2:$A$26,1)))/(INDEX('Shultis Faw'!$A$2:$A$26,MATCH($C775,'Shultis Faw'!$A$2:$A$26,1)+1)-INDEX('Shultis Faw'!$A$2:$A$26,MATCH($C775,'Shultis Faw'!$A$2:$A$26,1))),$C775*'Shultis Faw'!$C$2/'Shultis Faw'!$A$2)</f>
        <v>2.7757000000000001</v>
      </c>
      <c r="J775" s="83">
        <f>_xlfn.IFNA(INDEX('Shultis Faw'!$D$2:$D$26,MATCH($C775,'Shultis Faw'!$A$2:$A$26,1))+($C775-INDEX('Shultis Faw'!$A$2:$A$26,MATCH($C775,'Shultis Faw'!$A$2:$A$26,1)))*(INDEX('Shultis Faw'!$D$2:$D$26,MATCH($C775,'Shultis Faw'!$A$2:$A$26,1)+1)-INDEX('Shultis Faw'!$D$2:$D$26,MATCH($C775,'Shultis Faw'!$A$2:$A$26,1)))/(INDEX('Shultis Faw'!$A$2:$A$26,MATCH($C775,'Shultis Faw'!$A$2:$A$26,1)+1)-INDEX('Shultis Faw'!$A$2:$A$26,MATCH($C775,'Shultis Faw'!$A$2:$A$26,1))),$C775*'Shultis Faw'!$D$2/'Shultis Faw'!$A$2)</f>
        <v>1.9442999999999999</v>
      </c>
      <c r="K775" s="83">
        <f>_xlfn.IFNA(INDEX('Shultis Faw'!$B$2:$B$26,MATCH($C775,'Shultis Faw'!$A$2:$A$26,1))+($C775-INDEX('Shultis Faw'!$A$2:$A$26,MATCH($C775,'Shultis Faw'!$A$2:$A$26,1)))*(INDEX('Shultis Faw'!$B$2:$B$26,MATCH($C775,'Shultis Faw'!$A$2:$A$26,1)+1)-INDEX('Shultis Faw'!$B$2:$B$26,MATCH($C775,'Shultis Faw'!$A$2:$A$26,1)))/(INDEX('Shultis Faw'!$A$2:$A$26,MATCH($C775,'Shultis Faw'!$A$2:$A$26,1)+1)-INDEX('Shultis Faw'!$A$2:$A$26,MATCH($C775,'Shultis Faw'!$A$2:$A$26,1))),$C775*'Shultis Faw'!$B$2/'Shultis Faw'!$A$2)</f>
        <v>-0.15567500000000001</v>
      </c>
      <c r="L775" s="83">
        <f>_xlfn.IFNA(INDEX('Shultis Faw'!$E$2:$E$26,MATCH($C775,'Shultis Faw'!$A$2:$A$26,1))+($C775-INDEX('Shultis Faw'!$A$2:$A$26,MATCH($C775,'Shultis Faw'!$A$2:$A$26,1)))*(INDEX('Shultis Faw'!$E$2:$E$26,MATCH($C775,'Shultis Faw'!$A$2:$A$26,1)+1)-INDEX('Shultis Faw'!$E$2:$E$26,MATCH($C775,'Shultis Faw'!$A$2:$A$26,1)))/(INDEX('Shultis Faw'!$A$2:$A$26,MATCH($C775,'Shultis Faw'!$A$2:$A$26,1)+1)-INDEX('Shultis Faw'!$A$2:$A$26,MATCH($C775,'Shultis Faw'!$A$2:$A$26,1))),$C775*'Shultis Faw'!$E$2/'Shultis Faw'!$A$2)</f>
        <v>6.2170000000000003E-2</v>
      </c>
      <c r="M775" s="83">
        <f>_xlfn.IFNA(INDEX('Shultis Faw'!$F$2:$F$26,MATCH($C775,'Shultis Faw'!$A$2:$A$26,1))+($C775-INDEX('Shultis Faw'!$A$2:$A$26,MATCH($C775,'Shultis Faw'!$A$2:$A$26,1)))*(INDEX('Shultis Faw'!$F$2:$F$26,MATCH($C775,'Shultis Faw'!$A$2:$A$26,1)+1)-INDEX('Shultis Faw'!$F$2:$F$26,MATCH($C775,'Shultis Faw'!$A$2:$A$26,1)))/(INDEX('Shultis Faw'!$A$2:$A$26,MATCH($C775,'Shultis Faw'!$A$2:$A$26,1)+1)-INDEX('Shultis Faw'!$A$2:$A$26,MATCH($C775,'Shultis Faw'!$A$2:$A$26,1))),$C775*'Shultis Faw'!$F$2/'Shultis Faw'!$A$2)</f>
        <v>14.226650000000001</v>
      </c>
      <c r="N775" s="83">
        <f>J775*(H775*'Externe blootstelling'!$D$23/2)^K775+L775*(TANH(((H775*'Externe blootstelling'!$D$23)/(2*M775))-2)-TANH(-2))/(1-TANH(-2))</f>
        <v>1.7954224925843618</v>
      </c>
      <c r="O775" s="83">
        <f>IF(N775=1,1+(I775-1)*H775*'Externe blootstelling'!$D$23/2,1+(I775-1)*(N775^(H775*'Externe blootstelling'!$D$23/2)-1)/(N775-1))</f>
        <v>4.6996932312840061</v>
      </c>
      <c r="P775" s="67">
        <f>G775*EXP(-H775*'Externe blootstelling'!$D$23/2)*O775</f>
        <v>6.7795304347294529E-5</v>
      </c>
      <c r="Q775" s="68"/>
    </row>
    <row r="776" spans="1:17" x14ac:dyDescent="0.2">
      <c r="A776" s="220"/>
      <c r="B776" s="64" t="s">
        <v>104</v>
      </c>
      <c r="C776" s="66">
        <v>0.35570000000000002</v>
      </c>
      <c r="D776" s="66">
        <f t="shared" si="49"/>
        <v>5.6912E-14</v>
      </c>
      <c r="E776" s="66">
        <v>2.8E-5</v>
      </c>
      <c r="F776" s="66">
        <f>_xlfn.IFNA(INDEX('hp (pSv cm2)'!$B$2:$B$52,MATCH($C776,'hp (pSv cm2)'!$A$2:$A$52,1))+($C776-INDEX('hp (pSv cm2)'!$A$2:$A$52,MATCH($C776,'hp (pSv cm2)'!$A$2:$A$52,1)))*(INDEX('hp (pSv cm2)'!$B$2:$B$52,MATCH($C776,'hp (pSv cm2)'!$A$2:$A$52,1)+1)-INDEX('hp (pSv cm2)'!$B$2:$B$52,MATCH($C776,'hp (pSv cm2)'!$A$2:$A$52,1)))/(INDEX('hp (pSv cm2)'!$A$2:$A$52,MATCH($C776,'hp (pSv cm2)'!$A$2:$A$52,1)+1)-INDEX('hp (pSv cm2)'!$A$2:$A$52,MATCH($C776,'hp (pSv cm2)'!$A$2:$A$52,1))),$C776*'hp (pSv cm2)'!$B$2/'hp (pSv cm2)'!$A$2)</f>
        <v>1.7829299999999999</v>
      </c>
      <c r="G776" s="67">
        <f t="shared" si="51"/>
        <v>4.9922039999999997E-5</v>
      </c>
      <c r="H776" s="83">
        <f>_xlfn.IFNA(0.997*(INDEX('Mass attenuation coefficients'!$B$2:$B$37,MATCH($C776,'Mass attenuation coefficients'!$A$2:$A$37,1))+($C776-INDEX('Mass attenuation coefficients'!$A$2:$A$37,MATCH($C776,'Mass attenuation coefficients'!$A$2:$A$37,1)))*(INDEX('Mass attenuation coefficients'!$B$2:$B$37,MATCH($C776,'Mass attenuation coefficients'!$A$2:$A$37,1)+1)-INDEX('Mass attenuation coefficients'!$B$2:$B$37,MATCH($C776,'Mass attenuation coefficients'!$A$2:$A$37,1)))/(INDEX('Mass attenuation coefficients'!$A$2:$A$37,MATCH($C776,'Mass attenuation coefficients'!$A$2:$A$37,1)+1)-INDEX('Mass attenuation coefficients'!$A$2:$A$37,MATCH($C776,'Mass attenuation coefficients'!$A$2:$A$37,1)))),0.997*$C776*'Mass attenuation coefficients'!$B$2/'Mass attenuation coefficients'!$A$2)</f>
        <v>0.11130258749999999</v>
      </c>
      <c r="I776" s="83">
        <f>_xlfn.IFNA(INDEX('Shultis Faw'!$C$2:$C$26,MATCH($C776,'Shultis Faw'!$A$2:$A$26,1))+($C776-INDEX('Shultis Faw'!$A$2:$A$26,MATCH($C776,'Shultis Faw'!$A$2:$A$26,1)))*(INDEX('Shultis Faw'!$C$2:$C$26,MATCH($C776,'Shultis Faw'!$A$2:$A$26,1)+1)-INDEX('Shultis Faw'!$C$2:$C$26,MATCH($C776,'Shultis Faw'!$A$2:$A$26,1)))/(INDEX('Shultis Faw'!$A$2:$A$26,MATCH($C776,'Shultis Faw'!$A$2:$A$26,1)+1)-INDEX('Shultis Faw'!$A$2:$A$26,MATCH($C776,'Shultis Faw'!$A$2:$A$26,1))),$C776*'Shultis Faw'!$C$2/'Shultis Faw'!$A$2)</f>
        <v>2.7751800000000002</v>
      </c>
      <c r="J776" s="83">
        <f>_xlfn.IFNA(INDEX('Shultis Faw'!$D$2:$D$26,MATCH($C776,'Shultis Faw'!$A$2:$A$26,1))+($C776-INDEX('Shultis Faw'!$A$2:$A$26,MATCH($C776,'Shultis Faw'!$A$2:$A$26,1)))*(INDEX('Shultis Faw'!$D$2:$D$26,MATCH($C776,'Shultis Faw'!$A$2:$A$26,1)+1)-INDEX('Shultis Faw'!$D$2:$D$26,MATCH($C776,'Shultis Faw'!$A$2:$A$26,1)))/(INDEX('Shultis Faw'!$A$2:$A$26,MATCH($C776,'Shultis Faw'!$A$2:$A$26,1)+1)-INDEX('Shultis Faw'!$A$2:$A$26,MATCH($C776,'Shultis Faw'!$A$2:$A$26,1))),$C776*'Shultis Faw'!$D$2/'Shultis Faw'!$A$2)</f>
        <v>1.9440199999999999</v>
      </c>
      <c r="K776" s="83">
        <f>_xlfn.IFNA(INDEX('Shultis Faw'!$B$2:$B$26,MATCH($C776,'Shultis Faw'!$A$2:$A$26,1))+($C776-INDEX('Shultis Faw'!$A$2:$A$26,MATCH($C776,'Shultis Faw'!$A$2:$A$26,1)))*(INDEX('Shultis Faw'!$B$2:$B$26,MATCH($C776,'Shultis Faw'!$A$2:$A$26,1)+1)-INDEX('Shultis Faw'!$B$2:$B$26,MATCH($C776,'Shultis Faw'!$A$2:$A$26,1)))/(INDEX('Shultis Faw'!$A$2:$A$26,MATCH($C776,'Shultis Faw'!$A$2:$A$26,1)+1)-INDEX('Shultis Faw'!$A$2:$A$26,MATCH($C776,'Shultis Faw'!$A$2:$A$26,1))),$C776*'Shultis Faw'!$B$2/'Shultis Faw'!$A$2)</f>
        <v>-0.15564500000000001</v>
      </c>
      <c r="L776" s="83">
        <f>_xlfn.IFNA(INDEX('Shultis Faw'!$E$2:$E$26,MATCH($C776,'Shultis Faw'!$A$2:$A$26,1))+($C776-INDEX('Shultis Faw'!$A$2:$A$26,MATCH($C776,'Shultis Faw'!$A$2:$A$26,1)))*(INDEX('Shultis Faw'!$E$2:$E$26,MATCH($C776,'Shultis Faw'!$A$2:$A$26,1)+1)-INDEX('Shultis Faw'!$E$2:$E$26,MATCH($C776,'Shultis Faw'!$A$2:$A$26,1)))/(INDEX('Shultis Faw'!$A$2:$A$26,MATCH($C776,'Shultis Faw'!$A$2:$A$26,1)+1)-INDEX('Shultis Faw'!$A$2:$A$26,MATCH($C776,'Shultis Faw'!$A$2:$A$26,1))),$C776*'Shultis Faw'!$E$2/'Shultis Faw'!$A$2)</f>
        <v>6.2157999999999998E-2</v>
      </c>
      <c r="M776" s="83">
        <f>_xlfn.IFNA(INDEX('Shultis Faw'!$F$2:$F$26,MATCH($C776,'Shultis Faw'!$A$2:$A$26,1))+($C776-INDEX('Shultis Faw'!$A$2:$A$26,MATCH($C776,'Shultis Faw'!$A$2:$A$26,1)))*(INDEX('Shultis Faw'!$F$2:$F$26,MATCH($C776,'Shultis Faw'!$A$2:$A$26,1)+1)-INDEX('Shultis Faw'!$F$2:$F$26,MATCH($C776,'Shultis Faw'!$A$2:$A$26,1)))/(INDEX('Shultis Faw'!$A$2:$A$26,MATCH($C776,'Shultis Faw'!$A$2:$A$26,1)+1)-INDEX('Shultis Faw'!$A$2:$A$26,MATCH($C776,'Shultis Faw'!$A$2:$A$26,1))),$C776*'Shultis Faw'!$F$2/'Shultis Faw'!$A$2)</f>
        <v>14.226710000000001</v>
      </c>
      <c r="N776" s="83">
        <f>J776*(H776*'Externe blootstelling'!$D$23/2)^K776+L776*(TANH(((H776*'Externe blootstelling'!$D$23)/(2*M776))-2)-TANH(-2))/(1-TANH(-2))</f>
        <v>1.795254009280002</v>
      </c>
      <c r="O776" s="83">
        <f>IF(N776=1,1+(I776-1)*H776*'Externe blootstelling'!$D$23/2,1+(I776-1)*(N776^(H776*'Externe blootstelling'!$D$23/2)-1)/(N776-1))</f>
        <v>4.6971665865234158</v>
      </c>
      <c r="P776" s="67">
        <f>G776*EXP(-H776*'Externe blootstelling'!$D$23/2)*O776</f>
        <v>4.4162819579593646E-5</v>
      </c>
      <c r="Q776" s="68"/>
    </row>
    <row r="777" spans="1:17" x14ac:dyDescent="0.2">
      <c r="A777" s="220"/>
      <c r="B777" s="64" t="s">
        <v>104</v>
      </c>
      <c r="C777" s="66">
        <v>0.36188999999999999</v>
      </c>
      <c r="D777" s="66">
        <f t="shared" si="49"/>
        <v>5.7902399999999995E-14</v>
      </c>
      <c r="E777" s="66">
        <v>2.8000000000000003E-4</v>
      </c>
      <c r="F777" s="66">
        <f>_xlfn.IFNA(INDEX('hp (pSv cm2)'!$B$2:$B$52,MATCH($C777,'hp (pSv cm2)'!$A$2:$A$52,1))+($C777-INDEX('hp (pSv cm2)'!$A$2:$A$52,MATCH($C777,'hp (pSv cm2)'!$A$2:$A$52,1)))*(INDEX('hp (pSv cm2)'!$B$2:$B$52,MATCH($C777,'hp (pSv cm2)'!$A$2:$A$52,1)+1)-INDEX('hp (pSv cm2)'!$B$2:$B$52,MATCH($C777,'hp (pSv cm2)'!$A$2:$A$52,1)))/(INDEX('hp (pSv cm2)'!$A$2:$A$52,MATCH($C777,'hp (pSv cm2)'!$A$2:$A$52,1)+1)-INDEX('hp (pSv cm2)'!$A$2:$A$52,MATCH($C777,'hp (pSv cm2)'!$A$2:$A$52,1))),$C777*'hp (pSv cm2)'!$B$2/'hp (pSv cm2)'!$A$2)</f>
        <v>1.8132609999999998</v>
      </c>
      <c r="G777" s="67">
        <f t="shared" si="51"/>
        <v>5.0771308000000003E-4</v>
      </c>
      <c r="H777" s="83">
        <f>_xlfn.IFNA(0.997*(INDEX('Mass attenuation coefficients'!$B$2:$B$37,MATCH($C777,'Mass attenuation coefficients'!$A$2:$A$37,1))+($C777-INDEX('Mass attenuation coefficients'!$A$2:$A$37,MATCH($C777,'Mass attenuation coefficients'!$A$2:$A$37,1)))*(INDEX('Mass attenuation coefficients'!$B$2:$B$37,MATCH($C777,'Mass attenuation coefficients'!$A$2:$A$37,1)+1)-INDEX('Mass attenuation coefficients'!$B$2:$B$37,MATCH($C777,'Mass attenuation coefficients'!$A$2:$A$37,1)))/(INDEX('Mass attenuation coefficients'!$A$2:$A$37,MATCH($C777,'Mass attenuation coefficients'!$A$2:$A$37,1)+1)-INDEX('Mass attenuation coefficients'!$A$2:$A$37,MATCH($C777,'Mass attenuation coefficients'!$A$2:$A$37,1)))),0.997*$C777*'Mass attenuation coefficients'!$B$2/'Mass attenuation coefficients'!$A$2)</f>
        <v>0.11053115875</v>
      </c>
      <c r="I777" s="83">
        <f>_xlfn.IFNA(INDEX('Shultis Faw'!$C$2:$C$26,MATCH($C777,'Shultis Faw'!$A$2:$A$26,1))+($C777-INDEX('Shultis Faw'!$A$2:$A$26,MATCH($C777,'Shultis Faw'!$A$2:$A$26,1)))*(INDEX('Shultis Faw'!$C$2:$C$26,MATCH($C777,'Shultis Faw'!$A$2:$A$26,1)+1)-INDEX('Shultis Faw'!$C$2:$C$26,MATCH($C777,'Shultis Faw'!$A$2:$A$26,1)))/(INDEX('Shultis Faw'!$A$2:$A$26,MATCH($C777,'Shultis Faw'!$A$2:$A$26,1)+1)-INDEX('Shultis Faw'!$A$2:$A$26,MATCH($C777,'Shultis Faw'!$A$2:$A$26,1))),$C777*'Shultis Faw'!$C$2/'Shultis Faw'!$A$2)</f>
        <v>2.7590859999999999</v>
      </c>
      <c r="J777" s="83">
        <f>_xlfn.IFNA(INDEX('Shultis Faw'!$D$2:$D$26,MATCH($C777,'Shultis Faw'!$A$2:$A$26,1))+($C777-INDEX('Shultis Faw'!$A$2:$A$26,MATCH($C777,'Shultis Faw'!$A$2:$A$26,1)))*(INDEX('Shultis Faw'!$D$2:$D$26,MATCH($C777,'Shultis Faw'!$A$2:$A$26,1)+1)-INDEX('Shultis Faw'!$D$2:$D$26,MATCH($C777,'Shultis Faw'!$A$2:$A$26,1)))/(INDEX('Shultis Faw'!$A$2:$A$26,MATCH($C777,'Shultis Faw'!$A$2:$A$26,1)+1)-INDEX('Shultis Faw'!$A$2:$A$26,MATCH($C777,'Shultis Faw'!$A$2:$A$26,1))),$C777*'Shultis Faw'!$D$2/'Shultis Faw'!$A$2)</f>
        <v>1.9353539999999998</v>
      </c>
      <c r="K777" s="83">
        <f>_xlfn.IFNA(INDEX('Shultis Faw'!$B$2:$B$26,MATCH($C777,'Shultis Faw'!$A$2:$A$26,1))+($C777-INDEX('Shultis Faw'!$A$2:$A$26,MATCH($C777,'Shultis Faw'!$A$2:$A$26,1)))*(INDEX('Shultis Faw'!$B$2:$B$26,MATCH($C777,'Shultis Faw'!$A$2:$A$26,1)+1)-INDEX('Shultis Faw'!$B$2:$B$26,MATCH($C777,'Shultis Faw'!$A$2:$A$26,1)))/(INDEX('Shultis Faw'!$A$2:$A$26,MATCH($C777,'Shultis Faw'!$A$2:$A$26,1)+1)-INDEX('Shultis Faw'!$A$2:$A$26,MATCH($C777,'Shultis Faw'!$A$2:$A$26,1))),$C777*'Shultis Faw'!$B$2/'Shultis Faw'!$A$2)</f>
        <v>-0.15471650000000001</v>
      </c>
      <c r="L777" s="83">
        <f>_xlfn.IFNA(INDEX('Shultis Faw'!$E$2:$E$26,MATCH($C777,'Shultis Faw'!$A$2:$A$26,1))+($C777-INDEX('Shultis Faw'!$A$2:$A$26,MATCH($C777,'Shultis Faw'!$A$2:$A$26,1)))*(INDEX('Shultis Faw'!$E$2:$E$26,MATCH($C777,'Shultis Faw'!$A$2:$A$26,1)+1)-INDEX('Shultis Faw'!$E$2:$E$26,MATCH($C777,'Shultis Faw'!$A$2:$A$26,1)))/(INDEX('Shultis Faw'!$A$2:$A$26,MATCH($C777,'Shultis Faw'!$A$2:$A$26,1)+1)-INDEX('Shultis Faw'!$A$2:$A$26,MATCH($C777,'Shultis Faw'!$A$2:$A$26,1))),$C777*'Shultis Faw'!$E$2/'Shultis Faw'!$A$2)</f>
        <v>6.1786599999999997E-2</v>
      </c>
      <c r="M777" s="83">
        <f>_xlfn.IFNA(INDEX('Shultis Faw'!$F$2:$F$26,MATCH($C777,'Shultis Faw'!$A$2:$A$26,1))+($C777-INDEX('Shultis Faw'!$A$2:$A$26,MATCH($C777,'Shultis Faw'!$A$2:$A$26,1)))*(INDEX('Shultis Faw'!$F$2:$F$26,MATCH($C777,'Shultis Faw'!$A$2:$A$26,1)+1)-INDEX('Shultis Faw'!$F$2:$F$26,MATCH($C777,'Shultis Faw'!$A$2:$A$26,1)))/(INDEX('Shultis Faw'!$A$2:$A$26,MATCH($C777,'Shultis Faw'!$A$2:$A$26,1)+1)-INDEX('Shultis Faw'!$A$2:$A$26,MATCH($C777,'Shultis Faw'!$A$2:$A$26,1))),$C777*'Shultis Faw'!$F$2/'Shultis Faw'!$A$2)</f>
        <v>14.228567</v>
      </c>
      <c r="N777" s="83">
        <f>J777*(H777*'Externe blootstelling'!$D$23/2)^K777+L777*(TANH(((H777*'Externe blootstelling'!$D$23)/(2*M777))-2)-TANH(-2))/(1-TANH(-2))</f>
        <v>1.7900238643903299</v>
      </c>
      <c r="O777" s="83">
        <f>IF(N777=1,1+(I777-1)*H777*'Externe blootstelling'!$D$23/2,1+(I777-1)*(N777^(H777*'Externe blootstelling'!$D$23/2)-1)/(N777-1))</f>
        <v>4.6196416876086737</v>
      </c>
      <c r="P777" s="67">
        <f>G777*EXP(-H777*'Externe blootstelling'!$D$23/2)*O777</f>
        <v>4.4686934056975959E-4</v>
      </c>
      <c r="Q777" s="68"/>
    </row>
    <row r="778" spans="1:17" x14ac:dyDescent="0.2">
      <c r="A778" s="220"/>
      <c r="B778" s="64" t="s">
        <v>104</v>
      </c>
      <c r="C778" s="66">
        <v>0.3629</v>
      </c>
      <c r="D778" s="66">
        <f t="shared" si="49"/>
        <v>5.8063999999999994E-14</v>
      </c>
      <c r="E778" s="66">
        <v>1.6000000000000001E-4</v>
      </c>
      <c r="F778" s="66">
        <f>_xlfn.IFNA(INDEX('hp (pSv cm2)'!$B$2:$B$52,MATCH($C778,'hp (pSv cm2)'!$A$2:$A$52,1))+($C778-INDEX('hp (pSv cm2)'!$A$2:$A$52,MATCH($C778,'hp (pSv cm2)'!$A$2:$A$52,1)))*(INDEX('hp (pSv cm2)'!$B$2:$B$52,MATCH($C778,'hp (pSv cm2)'!$A$2:$A$52,1)+1)-INDEX('hp (pSv cm2)'!$B$2:$B$52,MATCH($C778,'hp (pSv cm2)'!$A$2:$A$52,1)))/(INDEX('hp (pSv cm2)'!$A$2:$A$52,MATCH($C778,'hp (pSv cm2)'!$A$2:$A$52,1)+1)-INDEX('hp (pSv cm2)'!$A$2:$A$52,MATCH($C778,'hp (pSv cm2)'!$A$2:$A$52,1))),$C778*'hp (pSv cm2)'!$B$2/'hp (pSv cm2)'!$A$2)</f>
        <v>1.8182099999999999</v>
      </c>
      <c r="G778" s="67">
        <f t="shared" si="51"/>
        <v>2.909136E-4</v>
      </c>
      <c r="H778" s="83">
        <f>_xlfn.IFNA(0.997*(INDEX('Mass attenuation coefficients'!$B$2:$B$37,MATCH($C778,'Mass attenuation coefficients'!$A$2:$A$37,1))+($C778-INDEX('Mass attenuation coefficients'!$A$2:$A$37,MATCH($C778,'Mass attenuation coefficients'!$A$2:$A$37,1)))*(INDEX('Mass attenuation coefficients'!$B$2:$B$37,MATCH($C778,'Mass attenuation coefficients'!$A$2:$A$37,1)+1)-INDEX('Mass attenuation coefficients'!$B$2:$B$37,MATCH($C778,'Mass attenuation coefficients'!$A$2:$A$37,1)))/(INDEX('Mass attenuation coefficients'!$A$2:$A$37,MATCH($C778,'Mass attenuation coefficients'!$A$2:$A$37,1)+1)-INDEX('Mass attenuation coefficients'!$A$2:$A$37,MATCH($C778,'Mass attenuation coefficients'!$A$2:$A$37,1)))),0.997*$C778*'Mass attenuation coefficients'!$B$2/'Mass attenuation coefficients'!$A$2)</f>
        <v>0.1104052875</v>
      </c>
      <c r="I778" s="83">
        <f>_xlfn.IFNA(INDEX('Shultis Faw'!$C$2:$C$26,MATCH($C778,'Shultis Faw'!$A$2:$A$26,1))+($C778-INDEX('Shultis Faw'!$A$2:$A$26,MATCH($C778,'Shultis Faw'!$A$2:$A$26,1)))*(INDEX('Shultis Faw'!$C$2:$C$26,MATCH($C778,'Shultis Faw'!$A$2:$A$26,1)+1)-INDEX('Shultis Faw'!$C$2:$C$26,MATCH($C778,'Shultis Faw'!$A$2:$A$26,1)))/(INDEX('Shultis Faw'!$A$2:$A$26,MATCH($C778,'Shultis Faw'!$A$2:$A$26,1)+1)-INDEX('Shultis Faw'!$A$2:$A$26,MATCH($C778,'Shultis Faw'!$A$2:$A$26,1))),$C778*'Shultis Faw'!$C$2/'Shultis Faw'!$A$2)</f>
        <v>2.7564600000000001</v>
      </c>
      <c r="J778" s="83">
        <f>_xlfn.IFNA(INDEX('Shultis Faw'!$D$2:$D$26,MATCH($C778,'Shultis Faw'!$A$2:$A$26,1))+($C778-INDEX('Shultis Faw'!$A$2:$A$26,MATCH($C778,'Shultis Faw'!$A$2:$A$26,1)))*(INDEX('Shultis Faw'!$D$2:$D$26,MATCH($C778,'Shultis Faw'!$A$2:$A$26,1)+1)-INDEX('Shultis Faw'!$D$2:$D$26,MATCH($C778,'Shultis Faw'!$A$2:$A$26,1)))/(INDEX('Shultis Faw'!$A$2:$A$26,MATCH($C778,'Shultis Faw'!$A$2:$A$26,1)+1)-INDEX('Shultis Faw'!$A$2:$A$26,MATCH($C778,'Shultis Faw'!$A$2:$A$26,1))),$C778*'Shultis Faw'!$D$2/'Shultis Faw'!$A$2)</f>
        <v>1.9339399999999998</v>
      </c>
      <c r="K778" s="83">
        <f>_xlfn.IFNA(INDEX('Shultis Faw'!$B$2:$B$26,MATCH($C778,'Shultis Faw'!$A$2:$A$26,1))+($C778-INDEX('Shultis Faw'!$A$2:$A$26,MATCH($C778,'Shultis Faw'!$A$2:$A$26,1)))*(INDEX('Shultis Faw'!$B$2:$B$26,MATCH($C778,'Shultis Faw'!$A$2:$A$26,1)+1)-INDEX('Shultis Faw'!$B$2:$B$26,MATCH($C778,'Shultis Faw'!$A$2:$A$26,1)))/(INDEX('Shultis Faw'!$A$2:$A$26,MATCH($C778,'Shultis Faw'!$A$2:$A$26,1)+1)-INDEX('Shultis Faw'!$A$2:$A$26,MATCH($C778,'Shultis Faw'!$A$2:$A$26,1))),$C778*'Shultis Faw'!$B$2/'Shultis Faw'!$A$2)</f>
        <v>-0.15456500000000001</v>
      </c>
      <c r="L778" s="83">
        <f>_xlfn.IFNA(INDEX('Shultis Faw'!$E$2:$E$26,MATCH($C778,'Shultis Faw'!$A$2:$A$26,1))+($C778-INDEX('Shultis Faw'!$A$2:$A$26,MATCH($C778,'Shultis Faw'!$A$2:$A$26,1)))*(INDEX('Shultis Faw'!$E$2:$E$26,MATCH($C778,'Shultis Faw'!$A$2:$A$26,1)+1)-INDEX('Shultis Faw'!$E$2:$E$26,MATCH($C778,'Shultis Faw'!$A$2:$A$26,1)))/(INDEX('Shultis Faw'!$A$2:$A$26,MATCH($C778,'Shultis Faw'!$A$2:$A$26,1)+1)-INDEX('Shultis Faw'!$A$2:$A$26,MATCH($C778,'Shultis Faw'!$A$2:$A$26,1))),$C778*'Shultis Faw'!$E$2/'Shultis Faw'!$A$2)</f>
        <v>6.1726000000000003E-2</v>
      </c>
      <c r="M778" s="83">
        <f>_xlfn.IFNA(INDEX('Shultis Faw'!$F$2:$F$26,MATCH($C778,'Shultis Faw'!$A$2:$A$26,1))+($C778-INDEX('Shultis Faw'!$A$2:$A$26,MATCH($C778,'Shultis Faw'!$A$2:$A$26,1)))*(INDEX('Shultis Faw'!$F$2:$F$26,MATCH($C778,'Shultis Faw'!$A$2:$A$26,1)+1)-INDEX('Shultis Faw'!$F$2:$F$26,MATCH($C778,'Shultis Faw'!$A$2:$A$26,1)))/(INDEX('Shultis Faw'!$A$2:$A$26,MATCH($C778,'Shultis Faw'!$A$2:$A$26,1)+1)-INDEX('Shultis Faw'!$A$2:$A$26,MATCH($C778,'Shultis Faw'!$A$2:$A$26,1))),$C778*'Shultis Faw'!$F$2/'Shultis Faw'!$A$2)</f>
        <v>14.228870000000001</v>
      </c>
      <c r="N778" s="83">
        <f>J778*(H778*'Externe blootstelling'!$D$23/2)^K778+L778*(TANH(((H778*'Externe blootstelling'!$D$23)/(2*M778))-2)-TANH(-2))/(1-TANH(-2))</f>
        <v>1.7891676141135588</v>
      </c>
      <c r="O778" s="83">
        <f>IF(N778=1,1+(I778-1)*H778*'Externe blootstelling'!$D$23/2,1+(I778-1)*(N778^(H778*'Externe blootstelling'!$D$23/2)-1)/(N778-1))</f>
        <v>4.6071155277995368</v>
      </c>
      <c r="P778" s="67">
        <f>G778*EXP(-H778*'Externe blootstelling'!$D$23/2)*O778</f>
        <v>2.5583915995126756E-4</v>
      </c>
      <c r="Q778" s="68"/>
    </row>
    <row r="779" spans="1:17" x14ac:dyDescent="0.2">
      <c r="A779" s="220"/>
      <c r="B779" s="64" t="s">
        <v>104</v>
      </c>
      <c r="C779" s="66">
        <v>0.36856</v>
      </c>
      <c r="D779" s="66">
        <f t="shared" si="49"/>
        <v>5.8969599999999996E-14</v>
      </c>
      <c r="E779" s="66">
        <v>8.9999999999999992E-5</v>
      </c>
      <c r="F779" s="66">
        <f>_xlfn.IFNA(INDEX('hp (pSv cm2)'!$B$2:$B$52,MATCH($C779,'hp (pSv cm2)'!$A$2:$A$52,1))+($C779-INDEX('hp (pSv cm2)'!$A$2:$A$52,MATCH($C779,'hp (pSv cm2)'!$A$2:$A$52,1)))*(INDEX('hp (pSv cm2)'!$B$2:$B$52,MATCH($C779,'hp (pSv cm2)'!$A$2:$A$52,1)+1)-INDEX('hp (pSv cm2)'!$B$2:$B$52,MATCH($C779,'hp (pSv cm2)'!$A$2:$A$52,1)))/(INDEX('hp (pSv cm2)'!$A$2:$A$52,MATCH($C779,'hp (pSv cm2)'!$A$2:$A$52,1)+1)-INDEX('hp (pSv cm2)'!$A$2:$A$52,MATCH($C779,'hp (pSv cm2)'!$A$2:$A$52,1))),$C779*'hp (pSv cm2)'!$B$2/'hp (pSv cm2)'!$A$2)</f>
        <v>1.8459439999999998</v>
      </c>
      <c r="G779" s="67">
        <f t="shared" si="51"/>
        <v>1.6613495999999998E-4</v>
      </c>
      <c r="H779" s="83">
        <f>_xlfn.IFNA(0.997*(INDEX('Mass attenuation coefficients'!$B$2:$B$37,MATCH($C779,'Mass attenuation coefficients'!$A$2:$A$37,1))+($C779-INDEX('Mass attenuation coefficients'!$A$2:$A$37,MATCH($C779,'Mass attenuation coefficients'!$A$2:$A$37,1)))*(INDEX('Mass attenuation coefficients'!$B$2:$B$37,MATCH($C779,'Mass attenuation coefficients'!$A$2:$A$37,1)+1)-INDEX('Mass attenuation coefficients'!$B$2:$B$37,MATCH($C779,'Mass attenuation coefficients'!$A$2:$A$37,1)))/(INDEX('Mass attenuation coefficients'!$A$2:$A$37,MATCH($C779,'Mass attenuation coefficients'!$A$2:$A$37,1)+1)-INDEX('Mass attenuation coefficients'!$A$2:$A$37,MATCH($C779,'Mass attenuation coefficients'!$A$2:$A$37,1)))),0.997*$C779*'Mass attenuation coefficients'!$B$2/'Mass attenuation coefficients'!$A$2)</f>
        <v>0.10969991</v>
      </c>
      <c r="I779" s="83">
        <f>_xlfn.IFNA(INDEX('Shultis Faw'!$C$2:$C$26,MATCH($C779,'Shultis Faw'!$A$2:$A$26,1))+($C779-INDEX('Shultis Faw'!$A$2:$A$26,MATCH($C779,'Shultis Faw'!$A$2:$A$26,1)))*(INDEX('Shultis Faw'!$C$2:$C$26,MATCH($C779,'Shultis Faw'!$A$2:$A$26,1)+1)-INDEX('Shultis Faw'!$C$2:$C$26,MATCH($C779,'Shultis Faw'!$A$2:$A$26,1)))/(INDEX('Shultis Faw'!$A$2:$A$26,MATCH($C779,'Shultis Faw'!$A$2:$A$26,1)+1)-INDEX('Shultis Faw'!$A$2:$A$26,MATCH($C779,'Shultis Faw'!$A$2:$A$26,1))),$C779*'Shultis Faw'!$C$2/'Shultis Faw'!$A$2)</f>
        <v>2.7417440000000002</v>
      </c>
      <c r="J779" s="83">
        <f>_xlfn.IFNA(INDEX('Shultis Faw'!$D$2:$D$26,MATCH($C779,'Shultis Faw'!$A$2:$A$26,1))+($C779-INDEX('Shultis Faw'!$A$2:$A$26,MATCH($C779,'Shultis Faw'!$A$2:$A$26,1)))*(INDEX('Shultis Faw'!$D$2:$D$26,MATCH($C779,'Shultis Faw'!$A$2:$A$26,1)+1)-INDEX('Shultis Faw'!$D$2:$D$26,MATCH($C779,'Shultis Faw'!$A$2:$A$26,1)))/(INDEX('Shultis Faw'!$A$2:$A$26,MATCH($C779,'Shultis Faw'!$A$2:$A$26,1)+1)-INDEX('Shultis Faw'!$A$2:$A$26,MATCH($C779,'Shultis Faw'!$A$2:$A$26,1))),$C779*'Shultis Faw'!$D$2/'Shultis Faw'!$A$2)</f>
        <v>1.926016</v>
      </c>
      <c r="K779" s="83">
        <f>_xlfn.IFNA(INDEX('Shultis Faw'!$B$2:$B$26,MATCH($C779,'Shultis Faw'!$A$2:$A$26,1))+($C779-INDEX('Shultis Faw'!$A$2:$A$26,MATCH($C779,'Shultis Faw'!$A$2:$A$26,1)))*(INDEX('Shultis Faw'!$B$2:$B$26,MATCH($C779,'Shultis Faw'!$A$2:$A$26,1)+1)-INDEX('Shultis Faw'!$B$2:$B$26,MATCH($C779,'Shultis Faw'!$A$2:$A$26,1)))/(INDEX('Shultis Faw'!$A$2:$A$26,MATCH($C779,'Shultis Faw'!$A$2:$A$26,1)+1)-INDEX('Shultis Faw'!$A$2:$A$26,MATCH($C779,'Shultis Faw'!$A$2:$A$26,1))),$C779*'Shultis Faw'!$B$2/'Shultis Faw'!$A$2)</f>
        <v>-0.15371599999999999</v>
      </c>
      <c r="L779" s="83">
        <f>_xlfn.IFNA(INDEX('Shultis Faw'!$E$2:$E$26,MATCH($C779,'Shultis Faw'!$A$2:$A$26,1))+($C779-INDEX('Shultis Faw'!$A$2:$A$26,MATCH($C779,'Shultis Faw'!$A$2:$A$26,1)))*(INDEX('Shultis Faw'!$E$2:$E$26,MATCH($C779,'Shultis Faw'!$A$2:$A$26,1)+1)-INDEX('Shultis Faw'!$E$2:$E$26,MATCH($C779,'Shultis Faw'!$A$2:$A$26,1)))/(INDEX('Shultis Faw'!$A$2:$A$26,MATCH($C779,'Shultis Faw'!$A$2:$A$26,1)+1)-INDEX('Shultis Faw'!$A$2:$A$26,MATCH($C779,'Shultis Faw'!$A$2:$A$26,1))),$C779*'Shultis Faw'!$E$2/'Shultis Faw'!$A$2)</f>
        <v>6.1386400000000001E-2</v>
      </c>
      <c r="M779" s="83">
        <f>_xlfn.IFNA(INDEX('Shultis Faw'!$F$2:$F$26,MATCH($C779,'Shultis Faw'!$A$2:$A$26,1))+($C779-INDEX('Shultis Faw'!$A$2:$A$26,MATCH($C779,'Shultis Faw'!$A$2:$A$26,1)))*(INDEX('Shultis Faw'!$F$2:$F$26,MATCH($C779,'Shultis Faw'!$A$2:$A$26,1)+1)-INDEX('Shultis Faw'!$F$2:$F$26,MATCH($C779,'Shultis Faw'!$A$2:$A$26,1)))/(INDEX('Shultis Faw'!$A$2:$A$26,MATCH($C779,'Shultis Faw'!$A$2:$A$26,1)+1)-INDEX('Shultis Faw'!$A$2:$A$26,MATCH($C779,'Shultis Faw'!$A$2:$A$26,1))),$C779*'Shultis Faw'!$F$2/'Shultis Faw'!$A$2)</f>
        <v>14.230568</v>
      </c>
      <c r="N779" s="83">
        <f>J779*(H779*'Externe blootstelling'!$D$23/2)^K779+L779*(TANH(((H779*'Externe blootstelling'!$D$23)/(2*M779))-2)-TANH(-2))/(1-TANH(-2))</f>
        <v>1.7843543338824648</v>
      </c>
      <c r="O779" s="83">
        <f>IF(N779=1,1+(I779-1)*H779*'Externe blootstelling'!$D$23/2,1+(I779-1)*(N779^(H779*'Externe blootstelling'!$D$23/2)-1)/(N779-1))</f>
        <v>4.5375527641482947</v>
      </c>
      <c r="P779" s="67">
        <f>G779*EXP(-H779*'Externe blootstelling'!$D$23/2)*O779</f>
        <v>1.4542924040446183E-4</v>
      </c>
      <c r="Q779" s="68"/>
    </row>
    <row r="780" spans="1:17" x14ac:dyDescent="0.2">
      <c r="A780" s="220"/>
      <c r="B780" s="64" t="s">
        <v>104</v>
      </c>
      <c r="C780" s="66">
        <v>0.37167600000000001</v>
      </c>
      <c r="D780" s="66">
        <f t="shared" si="49"/>
        <v>5.9468160000000001E-14</v>
      </c>
      <c r="E780" s="66">
        <v>4.9899999999999996E-3</v>
      </c>
      <c r="F780" s="66">
        <f>_xlfn.IFNA(INDEX('hp (pSv cm2)'!$B$2:$B$52,MATCH($C780,'hp (pSv cm2)'!$A$2:$A$52,1))+($C780-INDEX('hp (pSv cm2)'!$A$2:$A$52,MATCH($C780,'hp (pSv cm2)'!$A$2:$A$52,1)))*(INDEX('hp (pSv cm2)'!$B$2:$B$52,MATCH($C780,'hp (pSv cm2)'!$A$2:$A$52,1)+1)-INDEX('hp (pSv cm2)'!$B$2:$B$52,MATCH($C780,'hp (pSv cm2)'!$A$2:$A$52,1)))/(INDEX('hp (pSv cm2)'!$A$2:$A$52,MATCH($C780,'hp (pSv cm2)'!$A$2:$A$52,1)+1)-INDEX('hp (pSv cm2)'!$A$2:$A$52,MATCH($C780,'hp (pSv cm2)'!$A$2:$A$52,1))),$C780*'hp (pSv cm2)'!$B$2/'hp (pSv cm2)'!$A$2)</f>
        <v>1.8612123999999999</v>
      </c>
      <c r="G780" s="67">
        <f t="shared" si="51"/>
        <v>9.2874498759999979E-3</v>
      </c>
      <c r="H780" s="83">
        <f>_xlfn.IFNA(0.997*(INDEX('Mass attenuation coefficients'!$B$2:$B$37,MATCH($C780,'Mass attenuation coefficients'!$A$2:$A$37,1))+($C780-INDEX('Mass attenuation coefficients'!$A$2:$A$37,MATCH($C780,'Mass attenuation coefficients'!$A$2:$A$37,1)))*(INDEX('Mass attenuation coefficients'!$B$2:$B$37,MATCH($C780,'Mass attenuation coefficients'!$A$2:$A$37,1)+1)-INDEX('Mass attenuation coefficients'!$B$2:$B$37,MATCH($C780,'Mass attenuation coefficients'!$A$2:$A$37,1)))/(INDEX('Mass attenuation coefficients'!$A$2:$A$37,MATCH($C780,'Mass attenuation coefficients'!$A$2:$A$37,1)+1)-INDEX('Mass attenuation coefficients'!$A$2:$A$37,MATCH($C780,'Mass attenuation coefficients'!$A$2:$A$37,1)))),0.997*$C780*'Mass attenuation coefficients'!$B$2/'Mass attenuation coefficients'!$A$2)</f>
        <v>0.10931157850000001</v>
      </c>
      <c r="I780" s="83">
        <f>_xlfn.IFNA(INDEX('Shultis Faw'!$C$2:$C$26,MATCH($C780,'Shultis Faw'!$A$2:$A$26,1))+($C780-INDEX('Shultis Faw'!$A$2:$A$26,MATCH($C780,'Shultis Faw'!$A$2:$A$26,1)))*(INDEX('Shultis Faw'!$C$2:$C$26,MATCH($C780,'Shultis Faw'!$A$2:$A$26,1)+1)-INDEX('Shultis Faw'!$C$2:$C$26,MATCH($C780,'Shultis Faw'!$A$2:$A$26,1)))/(INDEX('Shultis Faw'!$A$2:$A$26,MATCH($C780,'Shultis Faw'!$A$2:$A$26,1)+1)-INDEX('Shultis Faw'!$A$2:$A$26,MATCH($C780,'Shultis Faw'!$A$2:$A$26,1))),$C780*'Shultis Faw'!$C$2/'Shultis Faw'!$A$2)</f>
        <v>2.7336423999999999</v>
      </c>
      <c r="J780" s="83">
        <f>_xlfn.IFNA(INDEX('Shultis Faw'!$D$2:$D$26,MATCH($C780,'Shultis Faw'!$A$2:$A$26,1))+($C780-INDEX('Shultis Faw'!$A$2:$A$26,MATCH($C780,'Shultis Faw'!$A$2:$A$26,1)))*(INDEX('Shultis Faw'!$D$2:$D$26,MATCH($C780,'Shultis Faw'!$A$2:$A$26,1)+1)-INDEX('Shultis Faw'!$D$2:$D$26,MATCH($C780,'Shultis Faw'!$A$2:$A$26,1)))/(INDEX('Shultis Faw'!$A$2:$A$26,MATCH($C780,'Shultis Faw'!$A$2:$A$26,1)+1)-INDEX('Shultis Faw'!$A$2:$A$26,MATCH($C780,'Shultis Faw'!$A$2:$A$26,1))),$C780*'Shultis Faw'!$D$2/'Shultis Faw'!$A$2)</f>
        <v>1.9216536</v>
      </c>
      <c r="K780" s="83">
        <f>_xlfn.IFNA(INDEX('Shultis Faw'!$B$2:$B$26,MATCH($C780,'Shultis Faw'!$A$2:$A$26,1))+($C780-INDEX('Shultis Faw'!$A$2:$A$26,MATCH($C780,'Shultis Faw'!$A$2:$A$26,1)))*(INDEX('Shultis Faw'!$B$2:$B$26,MATCH($C780,'Shultis Faw'!$A$2:$A$26,1)+1)-INDEX('Shultis Faw'!$B$2:$B$26,MATCH($C780,'Shultis Faw'!$A$2:$A$26,1)))/(INDEX('Shultis Faw'!$A$2:$A$26,MATCH($C780,'Shultis Faw'!$A$2:$A$26,1)+1)-INDEX('Shultis Faw'!$A$2:$A$26,MATCH($C780,'Shultis Faw'!$A$2:$A$26,1))),$C780*'Shultis Faw'!$B$2/'Shultis Faw'!$A$2)</f>
        <v>-0.15324860000000001</v>
      </c>
      <c r="L780" s="83">
        <f>_xlfn.IFNA(INDEX('Shultis Faw'!$E$2:$E$26,MATCH($C780,'Shultis Faw'!$A$2:$A$26,1))+($C780-INDEX('Shultis Faw'!$A$2:$A$26,MATCH($C780,'Shultis Faw'!$A$2:$A$26,1)))*(INDEX('Shultis Faw'!$E$2:$E$26,MATCH($C780,'Shultis Faw'!$A$2:$A$26,1)+1)-INDEX('Shultis Faw'!$E$2:$E$26,MATCH($C780,'Shultis Faw'!$A$2:$A$26,1)))/(INDEX('Shultis Faw'!$A$2:$A$26,MATCH($C780,'Shultis Faw'!$A$2:$A$26,1)+1)-INDEX('Shultis Faw'!$A$2:$A$26,MATCH($C780,'Shultis Faw'!$A$2:$A$26,1))),$C780*'Shultis Faw'!$E$2/'Shultis Faw'!$A$2)</f>
        <v>6.1199440000000001E-2</v>
      </c>
      <c r="M780" s="83">
        <f>_xlfn.IFNA(INDEX('Shultis Faw'!$F$2:$F$26,MATCH($C780,'Shultis Faw'!$A$2:$A$26,1))+($C780-INDEX('Shultis Faw'!$A$2:$A$26,MATCH($C780,'Shultis Faw'!$A$2:$A$26,1)))*(INDEX('Shultis Faw'!$F$2:$F$26,MATCH($C780,'Shultis Faw'!$A$2:$A$26,1)+1)-INDEX('Shultis Faw'!$F$2:$F$26,MATCH($C780,'Shultis Faw'!$A$2:$A$26,1)))/(INDEX('Shultis Faw'!$A$2:$A$26,MATCH($C780,'Shultis Faw'!$A$2:$A$26,1)+1)-INDEX('Shultis Faw'!$A$2:$A$26,MATCH($C780,'Shultis Faw'!$A$2:$A$26,1))),$C780*'Shultis Faw'!$F$2/'Shultis Faw'!$A$2)</f>
        <v>14.231502800000001</v>
      </c>
      <c r="N780" s="83">
        <f>J780*(H780*'Externe blootstelling'!$D$23/2)^K780+L780*(TANH(((H780*'Externe blootstelling'!$D$23)/(2*M780))-2)-TANH(-2))/(1-TANH(-2))</f>
        <v>1.7816936909032717</v>
      </c>
      <c r="O780" s="83">
        <f>IF(N780=1,1+(I780-1)*H780*'Externe blootstelling'!$D$23/2,1+(I780-1)*(N780^(H780*'Externe blootstelling'!$D$23/2)-1)/(N780-1))</f>
        <v>4.4997114464566614</v>
      </c>
      <c r="P780" s="67">
        <f>G780*EXP(-H780*'Externe blootstelling'!$D$23/2)*O780</f>
        <v>8.1092355807883647E-3</v>
      </c>
      <c r="Q780" s="68"/>
    </row>
    <row r="781" spans="1:17" x14ac:dyDescent="0.2">
      <c r="A781" s="220"/>
      <c r="B781" s="64" t="s">
        <v>104</v>
      </c>
      <c r="C781" s="66">
        <v>0.37286000000000002</v>
      </c>
      <c r="D781" s="66">
        <f t="shared" si="49"/>
        <v>5.9657599999999998E-14</v>
      </c>
      <c r="E781" s="66">
        <v>5.0999999999999993E-4</v>
      </c>
      <c r="F781" s="66">
        <f>_xlfn.IFNA(INDEX('hp (pSv cm2)'!$B$2:$B$52,MATCH($C781,'hp (pSv cm2)'!$A$2:$A$52,1))+($C781-INDEX('hp (pSv cm2)'!$A$2:$A$52,MATCH($C781,'hp (pSv cm2)'!$A$2:$A$52,1)))*(INDEX('hp (pSv cm2)'!$B$2:$B$52,MATCH($C781,'hp (pSv cm2)'!$A$2:$A$52,1)+1)-INDEX('hp (pSv cm2)'!$B$2:$B$52,MATCH($C781,'hp (pSv cm2)'!$A$2:$A$52,1)))/(INDEX('hp (pSv cm2)'!$A$2:$A$52,MATCH($C781,'hp (pSv cm2)'!$A$2:$A$52,1)+1)-INDEX('hp (pSv cm2)'!$A$2:$A$52,MATCH($C781,'hp (pSv cm2)'!$A$2:$A$52,1))),$C781*'hp (pSv cm2)'!$B$2/'hp (pSv cm2)'!$A$2)</f>
        <v>1.8670140000000002</v>
      </c>
      <c r="G781" s="67">
        <f t="shared" si="51"/>
        <v>9.5217714E-4</v>
      </c>
      <c r="H781" s="83">
        <f>_xlfn.IFNA(0.997*(INDEX('Mass attenuation coefficients'!$B$2:$B$37,MATCH($C781,'Mass attenuation coefficients'!$A$2:$A$37,1))+($C781-INDEX('Mass attenuation coefficients'!$A$2:$A$37,MATCH($C781,'Mass attenuation coefficients'!$A$2:$A$37,1)))*(INDEX('Mass attenuation coefficients'!$B$2:$B$37,MATCH($C781,'Mass attenuation coefficients'!$A$2:$A$37,1)+1)-INDEX('Mass attenuation coefficients'!$B$2:$B$37,MATCH($C781,'Mass attenuation coefficients'!$A$2:$A$37,1)))/(INDEX('Mass attenuation coefficients'!$A$2:$A$37,MATCH($C781,'Mass attenuation coefficients'!$A$2:$A$37,1)+1)-INDEX('Mass attenuation coefficients'!$A$2:$A$37,MATCH($C781,'Mass attenuation coefficients'!$A$2:$A$37,1)))),0.997*$C781*'Mass attenuation coefficients'!$B$2/'Mass attenuation coefficients'!$A$2)</f>
        <v>0.1091640225</v>
      </c>
      <c r="I781" s="83">
        <f>_xlfn.IFNA(INDEX('Shultis Faw'!$C$2:$C$26,MATCH($C781,'Shultis Faw'!$A$2:$A$26,1))+($C781-INDEX('Shultis Faw'!$A$2:$A$26,MATCH($C781,'Shultis Faw'!$A$2:$A$26,1)))*(INDEX('Shultis Faw'!$C$2:$C$26,MATCH($C781,'Shultis Faw'!$A$2:$A$26,1)+1)-INDEX('Shultis Faw'!$C$2:$C$26,MATCH($C781,'Shultis Faw'!$A$2:$A$26,1)))/(INDEX('Shultis Faw'!$A$2:$A$26,MATCH($C781,'Shultis Faw'!$A$2:$A$26,1)+1)-INDEX('Shultis Faw'!$A$2:$A$26,MATCH($C781,'Shultis Faw'!$A$2:$A$26,1))),$C781*'Shultis Faw'!$C$2/'Shultis Faw'!$A$2)</f>
        <v>2.7305640000000002</v>
      </c>
      <c r="J781" s="83">
        <f>_xlfn.IFNA(INDEX('Shultis Faw'!$D$2:$D$26,MATCH($C781,'Shultis Faw'!$A$2:$A$26,1))+($C781-INDEX('Shultis Faw'!$A$2:$A$26,MATCH($C781,'Shultis Faw'!$A$2:$A$26,1)))*(INDEX('Shultis Faw'!$D$2:$D$26,MATCH($C781,'Shultis Faw'!$A$2:$A$26,1)+1)-INDEX('Shultis Faw'!$D$2:$D$26,MATCH($C781,'Shultis Faw'!$A$2:$A$26,1)))/(INDEX('Shultis Faw'!$A$2:$A$26,MATCH($C781,'Shultis Faw'!$A$2:$A$26,1)+1)-INDEX('Shultis Faw'!$A$2:$A$26,MATCH($C781,'Shultis Faw'!$A$2:$A$26,1))),$C781*'Shultis Faw'!$D$2/'Shultis Faw'!$A$2)</f>
        <v>1.9199959999999998</v>
      </c>
      <c r="K781" s="83">
        <f>_xlfn.IFNA(INDEX('Shultis Faw'!$B$2:$B$26,MATCH($C781,'Shultis Faw'!$A$2:$A$26,1))+($C781-INDEX('Shultis Faw'!$A$2:$A$26,MATCH($C781,'Shultis Faw'!$A$2:$A$26,1)))*(INDEX('Shultis Faw'!$B$2:$B$26,MATCH($C781,'Shultis Faw'!$A$2:$A$26,1)+1)-INDEX('Shultis Faw'!$B$2:$B$26,MATCH($C781,'Shultis Faw'!$A$2:$A$26,1)))/(INDEX('Shultis Faw'!$A$2:$A$26,MATCH($C781,'Shultis Faw'!$A$2:$A$26,1)+1)-INDEX('Shultis Faw'!$A$2:$A$26,MATCH($C781,'Shultis Faw'!$A$2:$A$26,1))),$C781*'Shultis Faw'!$B$2/'Shultis Faw'!$A$2)</f>
        <v>-0.15307099999999998</v>
      </c>
      <c r="L781" s="83">
        <f>_xlfn.IFNA(INDEX('Shultis Faw'!$E$2:$E$26,MATCH($C781,'Shultis Faw'!$A$2:$A$26,1))+($C781-INDEX('Shultis Faw'!$A$2:$A$26,MATCH($C781,'Shultis Faw'!$A$2:$A$26,1)))*(INDEX('Shultis Faw'!$E$2:$E$26,MATCH($C781,'Shultis Faw'!$A$2:$A$26,1)+1)-INDEX('Shultis Faw'!$E$2:$E$26,MATCH($C781,'Shultis Faw'!$A$2:$A$26,1)))/(INDEX('Shultis Faw'!$A$2:$A$26,MATCH($C781,'Shultis Faw'!$A$2:$A$26,1)+1)-INDEX('Shultis Faw'!$A$2:$A$26,MATCH($C781,'Shultis Faw'!$A$2:$A$26,1))),$C781*'Shultis Faw'!$E$2/'Shultis Faw'!$A$2)</f>
        <v>6.1128399999999999E-2</v>
      </c>
      <c r="M781" s="83">
        <f>_xlfn.IFNA(INDEX('Shultis Faw'!$F$2:$F$26,MATCH($C781,'Shultis Faw'!$A$2:$A$26,1))+($C781-INDEX('Shultis Faw'!$A$2:$A$26,MATCH($C781,'Shultis Faw'!$A$2:$A$26,1)))*(INDEX('Shultis Faw'!$F$2:$F$26,MATCH($C781,'Shultis Faw'!$A$2:$A$26,1)+1)-INDEX('Shultis Faw'!$F$2:$F$26,MATCH($C781,'Shultis Faw'!$A$2:$A$26,1)))/(INDEX('Shultis Faw'!$A$2:$A$26,MATCH($C781,'Shultis Faw'!$A$2:$A$26,1)+1)-INDEX('Shultis Faw'!$A$2:$A$26,MATCH($C781,'Shultis Faw'!$A$2:$A$26,1))),$C781*'Shultis Faw'!$F$2/'Shultis Faw'!$A$2)</f>
        <v>14.231858000000001</v>
      </c>
      <c r="N781" s="83">
        <f>J781*(H781*'Externe blootstelling'!$D$23/2)^K781+L781*(TANH(((H781*'Externe blootstelling'!$D$23)/(2*M781))-2)-TANH(-2))/(1-TANH(-2))</f>
        <v>1.7806807057738241</v>
      </c>
      <c r="O781" s="83">
        <f>IF(N781=1,1+(I781-1)*H781*'Externe blootstelling'!$D$23/2,1+(I781-1)*(N781^(H781*'Externe blootstelling'!$D$23/2)-1)/(N781-1))</f>
        <v>4.4854167467202704</v>
      </c>
      <c r="P781" s="67">
        <f>G781*EXP(-H781*'Externe blootstelling'!$D$23/2)*O781</f>
        <v>8.3057826474830585E-4</v>
      </c>
      <c r="Q781" s="68"/>
    </row>
    <row r="782" spans="1:17" x14ac:dyDescent="0.2">
      <c r="A782" s="220"/>
      <c r="B782" s="64" t="s">
        <v>104</v>
      </c>
      <c r="C782" s="66">
        <v>0.37625999999999998</v>
      </c>
      <c r="D782" s="66">
        <f t="shared" si="49"/>
        <v>6.0201600000000001E-14</v>
      </c>
      <c r="E782" s="66">
        <v>1.2999999999999999E-4</v>
      </c>
      <c r="F782" s="66">
        <f>_xlfn.IFNA(INDEX('hp (pSv cm2)'!$B$2:$B$52,MATCH($C782,'hp (pSv cm2)'!$A$2:$A$52,1))+($C782-INDEX('hp (pSv cm2)'!$A$2:$A$52,MATCH($C782,'hp (pSv cm2)'!$A$2:$A$52,1)))*(INDEX('hp (pSv cm2)'!$B$2:$B$52,MATCH($C782,'hp (pSv cm2)'!$A$2:$A$52,1)+1)-INDEX('hp (pSv cm2)'!$B$2:$B$52,MATCH($C782,'hp (pSv cm2)'!$A$2:$A$52,1)))/(INDEX('hp (pSv cm2)'!$A$2:$A$52,MATCH($C782,'hp (pSv cm2)'!$A$2:$A$52,1)+1)-INDEX('hp (pSv cm2)'!$A$2:$A$52,MATCH($C782,'hp (pSv cm2)'!$A$2:$A$52,1))),$C782*'hp (pSv cm2)'!$B$2/'hp (pSv cm2)'!$A$2)</f>
        <v>1.8836739999999998</v>
      </c>
      <c r="G782" s="67">
        <f t="shared" si="51"/>
        <v>2.4487761999999997E-4</v>
      </c>
      <c r="H782" s="83">
        <f>_xlfn.IFNA(0.997*(INDEX('Mass attenuation coefficients'!$B$2:$B$37,MATCH($C782,'Mass attenuation coefficients'!$A$2:$A$37,1))+($C782-INDEX('Mass attenuation coefficients'!$A$2:$A$37,MATCH($C782,'Mass attenuation coefficients'!$A$2:$A$37,1)))*(INDEX('Mass attenuation coefficients'!$B$2:$B$37,MATCH($C782,'Mass attenuation coefficients'!$A$2:$A$37,1)+1)-INDEX('Mass attenuation coefficients'!$B$2:$B$37,MATCH($C782,'Mass attenuation coefficients'!$A$2:$A$37,1)))/(INDEX('Mass attenuation coefficients'!$A$2:$A$37,MATCH($C782,'Mass attenuation coefficients'!$A$2:$A$37,1)+1)-INDEX('Mass attenuation coefficients'!$A$2:$A$37,MATCH($C782,'Mass attenuation coefficients'!$A$2:$A$37,1)))),0.997*$C782*'Mass attenuation coefficients'!$B$2/'Mass attenuation coefficients'!$A$2)</f>
        <v>0.1087402975</v>
      </c>
      <c r="I782" s="83">
        <f>_xlfn.IFNA(INDEX('Shultis Faw'!$C$2:$C$26,MATCH($C782,'Shultis Faw'!$A$2:$A$26,1))+($C782-INDEX('Shultis Faw'!$A$2:$A$26,MATCH($C782,'Shultis Faw'!$A$2:$A$26,1)))*(INDEX('Shultis Faw'!$C$2:$C$26,MATCH($C782,'Shultis Faw'!$A$2:$A$26,1)+1)-INDEX('Shultis Faw'!$C$2:$C$26,MATCH($C782,'Shultis Faw'!$A$2:$A$26,1)))/(INDEX('Shultis Faw'!$A$2:$A$26,MATCH($C782,'Shultis Faw'!$A$2:$A$26,1)+1)-INDEX('Shultis Faw'!$A$2:$A$26,MATCH($C782,'Shultis Faw'!$A$2:$A$26,1))),$C782*'Shultis Faw'!$C$2/'Shultis Faw'!$A$2)</f>
        <v>2.721724</v>
      </c>
      <c r="J782" s="83">
        <f>_xlfn.IFNA(INDEX('Shultis Faw'!$D$2:$D$26,MATCH($C782,'Shultis Faw'!$A$2:$A$26,1))+($C782-INDEX('Shultis Faw'!$A$2:$A$26,MATCH($C782,'Shultis Faw'!$A$2:$A$26,1)))*(INDEX('Shultis Faw'!$D$2:$D$26,MATCH($C782,'Shultis Faw'!$A$2:$A$26,1)+1)-INDEX('Shultis Faw'!$D$2:$D$26,MATCH($C782,'Shultis Faw'!$A$2:$A$26,1)))/(INDEX('Shultis Faw'!$A$2:$A$26,MATCH($C782,'Shultis Faw'!$A$2:$A$26,1)+1)-INDEX('Shultis Faw'!$A$2:$A$26,MATCH($C782,'Shultis Faw'!$A$2:$A$26,1))),$C782*'Shultis Faw'!$D$2/'Shultis Faw'!$A$2)</f>
        <v>1.9152359999999999</v>
      </c>
      <c r="K782" s="83">
        <f>_xlfn.IFNA(INDEX('Shultis Faw'!$B$2:$B$26,MATCH($C782,'Shultis Faw'!$A$2:$A$26,1))+($C782-INDEX('Shultis Faw'!$A$2:$A$26,MATCH($C782,'Shultis Faw'!$A$2:$A$26,1)))*(INDEX('Shultis Faw'!$B$2:$B$26,MATCH($C782,'Shultis Faw'!$A$2:$A$26,1)+1)-INDEX('Shultis Faw'!$B$2:$B$26,MATCH($C782,'Shultis Faw'!$A$2:$A$26,1)))/(INDEX('Shultis Faw'!$A$2:$A$26,MATCH($C782,'Shultis Faw'!$A$2:$A$26,1)+1)-INDEX('Shultis Faw'!$A$2:$A$26,MATCH($C782,'Shultis Faw'!$A$2:$A$26,1))),$C782*'Shultis Faw'!$B$2/'Shultis Faw'!$A$2)</f>
        <v>-0.152561</v>
      </c>
      <c r="L782" s="83">
        <f>_xlfn.IFNA(INDEX('Shultis Faw'!$E$2:$E$26,MATCH($C782,'Shultis Faw'!$A$2:$A$26,1))+($C782-INDEX('Shultis Faw'!$A$2:$A$26,MATCH($C782,'Shultis Faw'!$A$2:$A$26,1)))*(INDEX('Shultis Faw'!$E$2:$E$26,MATCH($C782,'Shultis Faw'!$A$2:$A$26,1)+1)-INDEX('Shultis Faw'!$E$2:$E$26,MATCH($C782,'Shultis Faw'!$A$2:$A$26,1)))/(INDEX('Shultis Faw'!$A$2:$A$26,MATCH($C782,'Shultis Faw'!$A$2:$A$26,1)+1)-INDEX('Shultis Faw'!$A$2:$A$26,MATCH($C782,'Shultis Faw'!$A$2:$A$26,1))),$C782*'Shultis Faw'!$E$2/'Shultis Faw'!$A$2)</f>
        <v>6.0924400000000004E-2</v>
      </c>
      <c r="M782" s="83">
        <f>_xlfn.IFNA(INDEX('Shultis Faw'!$F$2:$F$26,MATCH($C782,'Shultis Faw'!$A$2:$A$26,1))+($C782-INDEX('Shultis Faw'!$A$2:$A$26,MATCH($C782,'Shultis Faw'!$A$2:$A$26,1)))*(INDEX('Shultis Faw'!$F$2:$F$26,MATCH($C782,'Shultis Faw'!$A$2:$A$26,1)+1)-INDEX('Shultis Faw'!$F$2:$F$26,MATCH($C782,'Shultis Faw'!$A$2:$A$26,1)))/(INDEX('Shultis Faw'!$A$2:$A$26,MATCH($C782,'Shultis Faw'!$A$2:$A$26,1)+1)-INDEX('Shultis Faw'!$A$2:$A$26,MATCH($C782,'Shultis Faw'!$A$2:$A$26,1))),$C782*'Shultis Faw'!$F$2/'Shultis Faw'!$A$2)</f>
        <v>14.232877999999999</v>
      </c>
      <c r="N782" s="83">
        <f>J782*(H782*'Externe blootstelling'!$D$23/2)^K782+L782*(TANH(((H782*'Externe blootstelling'!$D$23)/(2*M782))-2)-TANH(-2))/(1-TANH(-2))</f>
        <v>1.7777656437225251</v>
      </c>
      <c r="O782" s="83">
        <f>IF(N782=1,1+(I782-1)*H782*'Externe blootstelling'!$D$23/2,1+(I782-1)*(N782^(H782*'Externe blootstelling'!$D$23/2)-1)/(N782-1))</f>
        <v>4.4446233846819894</v>
      </c>
      <c r="P782" s="67">
        <f>G782*EXP(-H782*'Externe blootstelling'!$D$23/2)*O782</f>
        <v>2.1301215942119841E-4</v>
      </c>
      <c r="Q782" s="68"/>
    </row>
    <row r="783" spans="1:17" x14ac:dyDescent="0.2">
      <c r="A783" s="220"/>
      <c r="B783" s="64" t="s">
        <v>104</v>
      </c>
      <c r="C783" s="66">
        <v>0.38335000000000002</v>
      </c>
      <c r="D783" s="66">
        <f t="shared" si="49"/>
        <v>6.1335999999999995E-14</v>
      </c>
      <c r="E783" s="66">
        <v>7.0000000000000007E-5</v>
      </c>
      <c r="F783" s="66">
        <f>_xlfn.IFNA(INDEX('hp (pSv cm2)'!$B$2:$B$52,MATCH($C783,'hp (pSv cm2)'!$A$2:$A$52,1))+($C783-INDEX('hp (pSv cm2)'!$A$2:$A$52,MATCH($C783,'hp (pSv cm2)'!$A$2:$A$52,1)))*(INDEX('hp (pSv cm2)'!$B$2:$B$52,MATCH($C783,'hp (pSv cm2)'!$A$2:$A$52,1)+1)-INDEX('hp (pSv cm2)'!$B$2:$B$52,MATCH($C783,'hp (pSv cm2)'!$A$2:$A$52,1)))/(INDEX('hp (pSv cm2)'!$A$2:$A$52,MATCH($C783,'hp (pSv cm2)'!$A$2:$A$52,1)+1)-INDEX('hp (pSv cm2)'!$A$2:$A$52,MATCH($C783,'hp (pSv cm2)'!$A$2:$A$52,1))),$C783*'hp (pSv cm2)'!$B$2/'hp (pSv cm2)'!$A$2)</f>
        <v>1.918415</v>
      </c>
      <c r="G783" s="67">
        <f t="shared" si="51"/>
        <v>1.3428905000000002E-4</v>
      </c>
      <c r="H783" s="83">
        <f>_xlfn.IFNA(0.997*(INDEX('Mass attenuation coefficients'!$B$2:$B$37,MATCH($C783,'Mass attenuation coefficients'!$A$2:$A$37,1))+($C783-INDEX('Mass attenuation coefficients'!$A$2:$A$37,MATCH($C783,'Mass attenuation coefficients'!$A$2:$A$37,1)))*(INDEX('Mass attenuation coefficients'!$B$2:$B$37,MATCH($C783,'Mass attenuation coefficients'!$A$2:$A$37,1)+1)-INDEX('Mass attenuation coefficients'!$B$2:$B$37,MATCH($C783,'Mass attenuation coefficients'!$A$2:$A$37,1)))/(INDEX('Mass attenuation coefficients'!$A$2:$A$37,MATCH($C783,'Mass attenuation coefficients'!$A$2:$A$37,1)+1)-INDEX('Mass attenuation coefficients'!$A$2:$A$37,MATCH($C783,'Mass attenuation coefficients'!$A$2:$A$37,1)))),0.997*$C783*'Mass attenuation coefficients'!$B$2/'Mass attenuation coefficients'!$A$2)</f>
        <v>0.10785670624999999</v>
      </c>
      <c r="I783" s="83">
        <f>_xlfn.IFNA(INDEX('Shultis Faw'!$C$2:$C$26,MATCH($C783,'Shultis Faw'!$A$2:$A$26,1))+($C783-INDEX('Shultis Faw'!$A$2:$A$26,MATCH($C783,'Shultis Faw'!$A$2:$A$26,1)))*(INDEX('Shultis Faw'!$C$2:$C$26,MATCH($C783,'Shultis Faw'!$A$2:$A$26,1)+1)-INDEX('Shultis Faw'!$C$2:$C$26,MATCH($C783,'Shultis Faw'!$A$2:$A$26,1)))/(INDEX('Shultis Faw'!$A$2:$A$26,MATCH($C783,'Shultis Faw'!$A$2:$A$26,1)+1)-INDEX('Shultis Faw'!$A$2:$A$26,MATCH($C783,'Shultis Faw'!$A$2:$A$26,1))),$C783*'Shultis Faw'!$C$2/'Shultis Faw'!$A$2)</f>
        <v>2.70329</v>
      </c>
      <c r="J783" s="83">
        <f>_xlfn.IFNA(INDEX('Shultis Faw'!$D$2:$D$26,MATCH($C783,'Shultis Faw'!$A$2:$A$26,1))+($C783-INDEX('Shultis Faw'!$A$2:$A$26,MATCH($C783,'Shultis Faw'!$A$2:$A$26,1)))*(INDEX('Shultis Faw'!$D$2:$D$26,MATCH($C783,'Shultis Faw'!$A$2:$A$26,1)+1)-INDEX('Shultis Faw'!$D$2:$D$26,MATCH($C783,'Shultis Faw'!$A$2:$A$26,1)))/(INDEX('Shultis Faw'!$A$2:$A$26,MATCH($C783,'Shultis Faw'!$A$2:$A$26,1)+1)-INDEX('Shultis Faw'!$A$2:$A$26,MATCH($C783,'Shultis Faw'!$A$2:$A$26,1))),$C783*'Shultis Faw'!$D$2/'Shultis Faw'!$A$2)</f>
        <v>1.9053099999999998</v>
      </c>
      <c r="K783" s="83">
        <f>_xlfn.IFNA(INDEX('Shultis Faw'!$B$2:$B$26,MATCH($C783,'Shultis Faw'!$A$2:$A$26,1))+($C783-INDEX('Shultis Faw'!$A$2:$A$26,MATCH($C783,'Shultis Faw'!$A$2:$A$26,1)))*(INDEX('Shultis Faw'!$B$2:$B$26,MATCH($C783,'Shultis Faw'!$A$2:$A$26,1)+1)-INDEX('Shultis Faw'!$B$2:$B$26,MATCH($C783,'Shultis Faw'!$A$2:$A$26,1)))/(INDEX('Shultis Faw'!$A$2:$A$26,MATCH($C783,'Shultis Faw'!$A$2:$A$26,1)+1)-INDEX('Shultis Faw'!$A$2:$A$26,MATCH($C783,'Shultis Faw'!$A$2:$A$26,1))),$C783*'Shultis Faw'!$B$2/'Shultis Faw'!$A$2)</f>
        <v>-0.15149750000000001</v>
      </c>
      <c r="L783" s="83">
        <f>_xlfn.IFNA(INDEX('Shultis Faw'!$E$2:$E$26,MATCH($C783,'Shultis Faw'!$A$2:$A$26,1))+($C783-INDEX('Shultis Faw'!$A$2:$A$26,MATCH($C783,'Shultis Faw'!$A$2:$A$26,1)))*(INDEX('Shultis Faw'!$E$2:$E$26,MATCH($C783,'Shultis Faw'!$A$2:$A$26,1)+1)-INDEX('Shultis Faw'!$E$2:$E$26,MATCH($C783,'Shultis Faw'!$A$2:$A$26,1)))/(INDEX('Shultis Faw'!$A$2:$A$26,MATCH($C783,'Shultis Faw'!$A$2:$A$26,1)+1)-INDEX('Shultis Faw'!$A$2:$A$26,MATCH($C783,'Shultis Faw'!$A$2:$A$26,1))),$C783*'Shultis Faw'!$E$2/'Shultis Faw'!$A$2)</f>
        <v>6.0498999999999997E-2</v>
      </c>
      <c r="M783" s="83">
        <f>_xlfn.IFNA(INDEX('Shultis Faw'!$F$2:$F$26,MATCH($C783,'Shultis Faw'!$A$2:$A$26,1))+($C783-INDEX('Shultis Faw'!$A$2:$A$26,MATCH($C783,'Shultis Faw'!$A$2:$A$26,1)))*(INDEX('Shultis Faw'!$F$2:$F$26,MATCH($C783,'Shultis Faw'!$A$2:$A$26,1)+1)-INDEX('Shultis Faw'!$F$2:$F$26,MATCH($C783,'Shultis Faw'!$A$2:$A$26,1)))/(INDEX('Shultis Faw'!$A$2:$A$26,MATCH($C783,'Shultis Faw'!$A$2:$A$26,1)+1)-INDEX('Shultis Faw'!$A$2:$A$26,MATCH($C783,'Shultis Faw'!$A$2:$A$26,1))),$C783*'Shultis Faw'!$F$2/'Shultis Faw'!$A$2)</f>
        <v>14.235005000000001</v>
      </c>
      <c r="N783" s="83">
        <f>J783*(H783*'Externe blootstelling'!$D$23/2)^K783+L783*(TANH(((H783*'Externe blootstelling'!$D$23)/(2*M783))-2)-TANH(-2))/(1-TANH(-2))</f>
        <v>1.7716575131873535</v>
      </c>
      <c r="O783" s="83">
        <f>IF(N783=1,1+(I783-1)*H783*'Externe blootstelling'!$D$23/2,1+(I783-1)*(N783^(H783*'Externe blootstelling'!$D$23/2)-1)/(N783-1))</f>
        <v>4.3607652793545064</v>
      </c>
      <c r="P783" s="67">
        <f>G783*EXP(-H783*'Externe blootstelling'!$D$23/2)*O783</f>
        <v>1.1613943990205449E-4</v>
      </c>
      <c r="Q783" s="68"/>
    </row>
    <row r="784" spans="1:17" x14ac:dyDescent="0.2">
      <c r="A784" s="220"/>
      <c r="B784" s="64" t="s">
        <v>104</v>
      </c>
      <c r="C784" s="66">
        <v>0.38769999999999999</v>
      </c>
      <c r="D784" s="66">
        <f t="shared" si="49"/>
        <v>6.2031999999999995E-14</v>
      </c>
      <c r="E784" s="66">
        <v>1.6000000000000001E-4</v>
      </c>
      <c r="F784" s="66">
        <f>_xlfn.IFNA(INDEX('hp (pSv cm2)'!$B$2:$B$52,MATCH($C784,'hp (pSv cm2)'!$A$2:$A$52,1))+($C784-INDEX('hp (pSv cm2)'!$A$2:$A$52,MATCH($C784,'hp (pSv cm2)'!$A$2:$A$52,1)))*(INDEX('hp (pSv cm2)'!$B$2:$B$52,MATCH($C784,'hp (pSv cm2)'!$A$2:$A$52,1)+1)-INDEX('hp (pSv cm2)'!$B$2:$B$52,MATCH($C784,'hp (pSv cm2)'!$A$2:$A$52,1)))/(INDEX('hp (pSv cm2)'!$A$2:$A$52,MATCH($C784,'hp (pSv cm2)'!$A$2:$A$52,1)+1)-INDEX('hp (pSv cm2)'!$A$2:$A$52,MATCH($C784,'hp (pSv cm2)'!$A$2:$A$52,1))),$C784*'hp (pSv cm2)'!$B$2/'hp (pSv cm2)'!$A$2)</f>
        <v>1.93973</v>
      </c>
      <c r="G784" s="67">
        <f t="shared" si="51"/>
        <v>3.1035680000000002E-4</v>
      </c>
      <c r="H784" s="83">
        <f>_xlfn.IFNA(0.997*(INDEX('Mass attenuation coefficients'!$B$2:$B$37,MATCH($C784,'Mass attenuation coefficients'!$A$2:$A$37,1))+($C784-INDEX('Mass attenuation coefficients'!$A$2:$A$37,MATCH($C784,'Mass attenuation coefficients'!$A$2:$A$37,1)))*(INDEX('Mass attenuation coefficients'!$B$2:$B$37,MATCH($C784,'Mass attenuation coefficients'!$A$2:$A$37,1)+1)-INDEX('Mass attenuation coefficients'!$B$2:$B$37,MATCH($C784,'Mass attenuation coefficients'!$A$2:$A$37,1)))/(INDEX('Mass attenuation coefficients'!$A$2:$A$37,MATCH($C784,'Mass attenuation coefficients'!$A$2:$A$37,1)+1)-INDEX('Mass attenuation coefficients'!$A$2:$A$37,MATCH($C784,'Mass attenuation coefficients'!$A$2:$A$37,1)))),0.997*$C784*'Mass attenuation coefficients'!$B$2/'Mass attenuation coefficients'!$A$2)</f>
        <v>0.1073145875</v>
      </c>
      <c r="I784" s="83">
        <f>_xlfn.IFNA(INDEX('Shultis Faw'!$C$2:$C$26,MATCH($C784,'Shultis Faw'!$A$2:$A$26,1))+($C784-INDEX('Shultis Faw'!$A$2:$A$26,MATCH($C784,'Shultis Faw'!$A$2:$A$26,1)))*(INDEX('Shultis Faw'!$C$2:$C$26,MATCH($C784,'Shultis Faw'!$A$2:$A$26,1)+1)-INDEX('Shultis Faw'!$C$2:$C$26,MATCH($C784,'Shultis Faw'!$A$2:$A$26,1)))/(INDEX('Shultis Faw'!$A$2:$A$26,MATCH($C784,'Shultis Faw'!$A$2:$A$26,1)+1)-INDEX('Shultis Faw'!$A$2:$A$26,MATCH($C784,'Shultis Faw'!$A$2:$A$26,1))),$C784*'Shultis Faw'!$C$2/'Shultis Faw'!$A$2)</f>
        <v>2.69198</v>
      </c>
      <c r="J784" s="83">
        <f>_xlfn.IFNA(INDEX('Shultis Faw'!$D$2:$D$26,MATCH($C784,'Shultis Faw'!$A$2:$A$26,1))+($C784-INDEX('Shultis Faw'!$A$2:$A$26,MATCH($C784,'Shultis Faw'!$A$2:$A$26,1)))*(INDEX('Shultis Faw'!$D$2:$D$26,MATCH($C784,'Shultis Faw'!$A$2:$A$26,1)+1)-INDEX('Shultis Faw'!$D$2:$D$26,MATCH($C784,'Shultis Faw'!$A$2:$A$26,1)))/(INDEX('Shultis Faw'!$A$2:$A$26,MATCH($C784,'Shultis Faw'!$A$2:$A$26,1)+1)-INDEX('Shultis Faw'!$A$2:$A$26,MATCH($C784,'Shultis Faw'!$A$2:$A$26,1))),$C784*'Shultis Faw'!$D$2/'Shultis Faw'!$A$2)</f>
        <v>1.8992199999999999</v>
      </c>
      <c r="K784" s="83">
        <f>_xlfn.IFNA(INDEX('Shultis Faw'!$B$2:$B$26,MATCH($C784,'Shultis Faw'!$A$2:$A$26,1))+($C784-INDEX('Shultis Faw'!$A$2:$A$26,MATCH($C784,'Shultis Faw'!$A$2:$A$26,1)))*(INDEX('Shultis Faw'!$B$2:$B$26,MATCH($C784,'Shultis Faw'!$A$2:$A$26,1)+1)-INDEX('Shultis Faw'!$B$2:$B$26,MATCH($C784,'Shultis Faw'!$A$2:$A$26,1)))/(INDEX('Shultis Faw'!$A$2:$A$26,MATCH($C784,'Shultis Faw'!$A$2:$A$26,1)+1)-INDEX('Shultis Faw'!$A$2:$A$26,MATCH($C784,'Shultis Faw'!$A$2:$A$26,1))),$C784*'Shultis Faw'!$B$2/'Shultis Faw'!$A$2)</f>
        <v>-0.15084500000000001</v>
      </c>
      <c r="L784" s="83">
        <f>_xlfn.IFNA(INDEX('Shultis Faw'!$E$2:$E$26,MATCH($C784,'Shultis Faw'!$A$2:$A$26,1))+($C784-INDEX('Shultis Faw'!$A$2:$A$26,MATCH($C784,'Shultis Faw'!$A$2:$A$26,1)))*(INDEX('Shultis Faw'!$E$2:$E$26,MATCH($C784,'Shultis Faw'!$A$2:$A$26,1)+1)-INDEX('Shultis Faw'!$E$2:$E$26,MATCH($C784,'Shultis Faw'!$A$2:$A$26,1)))/(INDEX('Shultis Faw'!$A$2:$A$26,MATCH($C784,'Shultis Faw'!$A$2:$A$26,1)+1)-INDEX('Shultis Faw'!$A$2:$A$26,MATCH($C784,'Shultis Faw'!$A$2:$A$26,1))),$C784*'Shultis Faw'!$E$2/'Shultis Faw'!$A$2)</f>
        <v>6.0238E-2</v>
      </c>
      <c r="M784" s="83">
        <f>_xlfn.IFNA(INDEX('Shultis Faw'!$F$2:$F$26,MATCH($C784,'Shultis Faw'!$A$2:$A$26,1))+($C784-INDEX('Shultis Faw'!$A$2:$A$26,MATCH($C784,'Shultis Faw'!$A$2:$A$26,1)))*(INDEX('Shultis Faw'!$F$2:$F$26,MATCH($C784,'Shultis Faw'!$A$2:$A$26,1)+1)-INDEX('Shultis Faw'!$F$2:$F$26,MATCH($C784,'Shultis Faw'!$A$2:$A$26,1)))/(INDEX('Shultis Faw'!$A$2:$A$26,MATCH($C784,'Shultis Faw'!$A$2:$A$26,1)+1)-INDEX('Shultis Faw'!$A$2:$A$26,MATCH($C784,'Shultis Faw'!$A$2:$A$26,1))),$C784*'Shultis Faw'!$F$2/'Shultis Faw'!$A$2)</f>
        <v>14.23631</v>
      </c>
      <c r="N784" s="83">
        <f>J784*(H784*'Externe blootstelling'!$D$23/2)^K784+L784*(TANH(((H784*'Externe blootstelling'!$D$23)/(2*M784))-2)-TANH(-2))/(1-TANH(-2))</f>
        <v>1.767890269419566</v>
      </c>
      <c r="O784" s="83">
        <f>IF(N784=1,1+(I784-1)*H784*'Externe blootstelling'!$D$23/2,1+(I784-1)*(N784^(H784*'Externe blootstelling'!$D$23/2)-1)/(N784-1))</f>
        <v>4.310113419466937</v>
      </c>
      <c r="P784" s="67">
        <f>G784*EXP(-H784*'Externe blootstelling'!$D$23/2)*O784</f>
        <v>2.6745946176721529E-4</v>
      </c>
      <c r="Q784" s="68"/>
    </row>
    <row r="785" spans="1:17" x14ac:dyDescent="0.2">
      <c r="A785" s="220"/>
      <c r="B785" s="64" t="s">
        <v>104</v>
      </c>
      <c r="C785" s="66">
        <v>0.3901</v>
      </c>
      <c r="D785" s="66">
        <f t="shared" si="49"/>
        <v>6.2416000000000001E-14</v>
      </c>
      <c r="E785" s="66">
        <v>4.6E-5</v>
      </c>
      <c r="F785" s="66">
        <f>_xlfn.IFNA(INDEX('hp (pSv cm2)'!$B$2:$B$52,MATCH($C785,'hp (pSv cm2)'!$A$2:$A$52,1))+($C785-INDEX('hp (pSv cm2)'!$A$2:$A$52,MATCH($C785,'hp (pSv cm2)'!$A$2:$A$52,1)))*(INDEX('hp (pSv cm2)'!$B$2:$B$52,MATCH($C785,'hp (pSv cm2)'!$A$2:$A$52,1)+1)-INDEX('hp (pSv cm2)'!$B$2:$B$52,MATCH($C785,'hp (pSv cm2)'!$A$2:$A$52,1)))/(INDEX('hp (pSv cm2)'!$A$2:$A$52,MATCH($C785,'hp (pSv cm2)'!$A$2:$A$52,1)+1)-INDEX('hp (pSv cm2)'!$A$2:$A$52,MATCH($C785,'hp (pSv cm2)'!$A$2:$A$52,1))),$C785*'hp (pSv cm2)'!$B$2/'hp (pSv cm2)'!$A$2)</f>
        <v>1.9514899999999999</v>
      </c>
      <c r="G785" s="67">
        <f t="shared" si="51"/>
        <v>8.9768539999999996E-5</v>
      </c>
      <c r="H785" s="83">
        <f>_xlfn.IFNA(0.997*(INDEX('Mass attenuation coefficients'!$B$2:$B$37,MATCH($C785,'Mass attenuation coefficients'!$A$2:$A$37,1))+($C785-INDEX('Mass attenuation coefficients'!$A$2:$A$37,MATCH($C785,'Mass attenuation coefficients'!$A$2:$A$37,1)))*(INDEX('Mass attenuation coefficients'!$B$2:$B$37,MATCH($C785,'Mass attenuation coefficients'!$A$2:$A$37,1)+1)-INDEX('Mass attenuation coefficients'!$B$2:$B$37,MATCH($C785,'Mass attenuation coefficients'!$A$2:$A$37,1)))/(INDEX('Mass attenuation coefficients'!$A$2:$A$37,MATCH($C785,'Mass attenuation coefficients'!$A$2:$A$37,1)+1)-INDEX('Mass attenuation coefficients'!$A$2:$A$37,MATCH($C785,'Mass attenuation coefficients'!$A$2:$A$37,1)))),0.997*$C785*'Mass attenuation coefficients'!$B$2/'Mass attenuation coefficients'!$A$2)</f>
        <v>0.10701548750000001</v>
      </c>
      <c r="I785" s="83">
        <f>_xlfn.IFNA(INDEX('Shultis Faw'!$C$2:$C$26,MATCH($C785,'Shultis Faw'!$A$2:$A$26,1))+($C785-INDEX('Shultis Faw'!$A$2:$A$26,MATCH($C785,'Shultis Faw'!$A$2:$A$26,1)))*(INDEX('Shultis Faw'!$C$2:$C$26,MATCH($C785,'Shultis Faw'!$A$2:$A$26,1)+1)-INDEX('Shultis Faw'!$C$2:$C$26,MATCH($C785,'Shultis Faw'!$A$2:$A$26,1)))/(INDEX('Shultis Faw'!$A$2:$A$26,MATCH($C785,'Shultis Faw'!$A$2:$A$26,1)+1)-INDEX('Shultis Faw'!$A$2:$A$26,MATCH($C785,'Shultis Faw'!$A$2:$A$26,1))),$C785*'Shultis Faw'!$C$2/'Shultis Faw'!$A$2)</f>
        <v>2.68574</v>
      </c>
      <c r="J785" s="83">
        <f>_xlfn.IFNA(INDEX('Shultis Faw'!$D$2:$D$26,MATCH($C785,'Shultis Faw'!$A$2:$A$26,1))+($C785-INDEX('Shultis Faw'!$A$2:$A$26,MATCH($C785,'Shultis Faw'!$A$2:$A$26,1)))*(INDEX('Shultis Faw'!$D$2:$D$26,MATCH($C785,'Shultis Faw'!$A$2:$A$26,1)+1)-INDEX('Shultis Faw'!$D$2:$D$26,MATCH($C785,'Shultis Faw'!$A$2:$A$26,1)))/(INDEX('Shultis Faw'!$A$2:$A$26,MATCH($C785,'Shultis Faw'!$A$2:$A$26,1)+1)-INDEX('Shultis Faw'!$A$2:$A$26,MATCH($C785,'Shultis Faw'!$A$2:$A$26,1))),$C785*'Shultis Faw'!$D$2/'Shultis Faw'!$A$2)</f>
        <v>1.8958599999999999</v>
      </c>
      <c r="K785" s="83">
        <f>_xlfn.IFNA(INDEX('Shultis Faw'!$B$2:$B$26,MATCH($C785,'Shultis Faw'!$A$2:$A$26,1))+($C785-INDEX('Shultis Faw'!$A$2:$A$26,MATCH($C785,'Shultis Faw'!$A$2:$A$26,1)))*(INDEX('Shultis Faw'!$B$2:$B$26,MATCH($C785,'Shultis Faw'!$A$2:$A$26,1)+1)-INDEX('Shultis Faw'!$B$2:$B$26,MATCH($C785,'Shultis Faw'!$A$2:$A$26,1)))/(INDEX('Shultis Faw'!$A$2:$A$26,MATCH($C785,'Shultis Faw'!$A$2:$A$26,1)+1)-INDEX('Shultis Faw'!$A$2:$A$26,MATCH($C785,'Shultis Faw'!$A$2:$A$26,1))),$C785*'Shultis Faw'!$B$2/'Shultis Faw'!$A$2)</f>
        <v>-0.15048500000000001</v>
      </c>
      <c r="L785" s="83">
        <f>_xlfn.IFNA(INDEX('Shultis Faw'!$E$2:$E$26,MATCH($C785,'Shultis Faw'!$A$2:$A$26,1))+($C785-INDEX('Shultis Faw'!$A$2:$A$26,MATCH($C785,'Shultis Faw'!$A$2:$A$26,1)))*(INDEX('Shultis Faw'!$E$2:$E$26,MATCH($C785,'Shultis Faw'!$A$2:$A$26,1)+1)-INDEX('Shultis Faw'!$E$2:$E$26,MATCH($C785,'Shultis Faw'!$A$2:$A$26,1)))/(INDEX('Shultis Faw'!$A$2:$A$26,MATCH($C785,'Shultis Faw'!$A$2:$A$26,1)+1)-INDEX('Shultis Faw'!$A$2:$A$26,MATCH($C785,'Shultis Faw'!$A$2:$A$26,1))),$C785*'Shultis Faw'!$E$2/'Shultis Faw'!$A$2)</f>
        <v>6.0094000000000002E-2</v>
      </c>
      <c r="M785" s="83">
        <f>_xlfn.IFNA(INDEX('Shultis Faw'!$F$2:$F$26,MATCH($C785,'Shultis Faw'!$A$2:$A$26,1))+($C785-INDEX('Shultis Faw'!$A$2:$A$26,MATCH($C785,'Shultis Faw'!$A$2:$A$26,1)))*(INDEX('Shultis Faw'!$F$2:$F$26,MATCH($C785,'Shultis Faw'!$A$2:$A$26,1)+1)-INDEX('Shultis Faw'!$F$2:$F$26,MATCH($C785,'Shultis Faw'!$A$2:$A$26,1)))/(INDEX('Shultis Faw'!$A$2:$A$26,MATCH($C785,'Shultis Faw'!$A$2:$A$26,1)+1)-INDEX('Shultis Faw'!$A$2:$A$26,MATCH($C785,'Shultis Faw'!$A$2:$A$26,1))),$C785*'Shultis Faw'!$F$2/'Shultis Faw'!$A$2)</f>
        <v>14.237030000000001</v>
      </c>
      <c r="N785" s="83">
        <f>J785*(H785*'Externe blootstelling'!$D$23/2)^K785+L785*(TANH(((H785*'Externe blootstelling'!$D$23)/(2*M785))-2)-TANH(-2))/(1-TANH(-2))</f>
        <v>1.7658053872415902</v>
      </c>
      <c r="O785" s="83">
        <f>IF(N785=1,1+(I785-1)*H785*'Externe blootstelling'!$D$23/2,1+(I785-1)*(N785^(H785*'Externe blootstelling'!$D$23/2)-1)/(N785-1))</f>
        <v>4.2824245322459387</v>
      </c>
      <c r="P785" s="67">
        <f>G785*EXP(-H785*'Externe blootstelling'!$D$23/2)*O785</f>
        <v>7.7209429708343478E-5</v>
      </c>
      <c r="Q785" s="68"/>
    </row>
    <row r="786" spans="1:17" x14ac:dyDescent="0.2">
      <c r="A786" s="220"/>
      <c r="B786" s="64" t="s">
        <v>104</v>
      </c>
      <c r="C786" s="66">
        <v>0.43060000000000004</v>
      </c>
      <c r="D786" s="66">
        <f t="shared" si="49"/>
        <v>6.8896000000000002E-14</v>
      </c>
      <c r="E786" s="66">
        <v>2.0000000000000001E-4</v>
      </c>
      <c r="F786" s="66">
        <f>_xlfn.IFNA(INDEX('hp (pSv cm2)'!$B$2:$B$52,MATCH($C786,'hp (pSv cm2)'!$A$2:$A$52,1))+($C786-INDEX('hp (pSv cm2)'!$A$2:$A$52,MATCH($C786,'hp (pSv cm2)'!$A$2:$A$52,1)))*(INDEX('hp (pSv cm2)'!$B$2:$B$52,MATCH($C786,'hp (pSv cm2)'!$A$2:$A$52,1)+1)-INDEX('hp (pSv cm2)'!$B$2:$B$52,MATCH($C786,'hp (pSv cm2)'!$A$2:$A$52,1)))/(INDEX('hp (pSv cm2)'!$A$2:$A$52,MATCH($C786,'hp (pSv cm2)'!$A$2:$A$52,1)+1)-INDEX('hp (pSv cm2)'!$A$2:$A$52,MATCH($C786,'hp (pSv cm2)'!$A$2:$A$52,1))),$C786*'hp (pSv cm2)'!$B$2/'hp (pSv cm2)'!$A$2)</f>
        <v>2.1438200000000003</v>
      </c>
      <c r="G786" s="67">
        <f t="shared" si="51"/>
        <v>4.287640000000001E-4</v>
      </c>
      <c r="H786" s="83">
        <f>_xlfn.IFNA(0.997*(INDEX('Mass attenuation coefficients'!$B$2:$B$37,MATCH($C786,'Mass attenuation coefficients'!$A$2:$A$37,1))+($C786-INDEX('Mass attenuation coefficients'!$A$2:$A$37,MATCH($C786,'Mass attenuation coefficients'!$A$2:$A$37,1)))*(INDEX('Mass attenuation coefficients'!$B$2:$B$37,MATCH($C786,'Mass attenuation coefficients'!$A$2:$A$37,1)+1)-INDEX('Mass attenuation coefficients'!$B$2:$B$37,MATCH($C786,'Mass attenuation coefficients'!$A$2:$A$37,1)))/(INDEX('Mass attenuation coefficients'!$A$2:$A$37,MATCH($C786,'Mass attenuation coefficients'!$A$2:$A$37,1)+1)-INDEX('Mass attenuation coefficients'!$A$2:$A$37,MATCH($C786,'Mass attenuation coefficients'!$A$2:$A$37,1)))),0.997*$C786*'Mass attenuation coefficients'!$B$2/'Mass attenuation coefficients'!$A$2)</f>
        <v>0.10296579314</v>
      </c>
      <c r="I786" s="83">
        <f>_xlfn.IFNA(INDEX('Shultis Faw'!$C$2:$C$26,MATCH($C786,'Shultis Faw'!$A$2:$A$26,1))+($C786-INDEX('Shultis Faw'!$A$2:$A$26,MATCH($C786,'Shultis Faw'!$A$2:$A$26,1)))*(INDEX('Shultis Faw'!$C$2:$C$26,MATCH($C786,'Shultis Faw'!$A$2:$A$26,1)+1)-INDEX('Shultis Faw'!$C$2:$C$26,MATCH($C786,'Shultis Faw'!$A$2:$A$26,1)))/(INDEX('Shultis Faw'!$A$2:$A$26,MATCH($C786,'Shultis Faw'!$A$2:$A$26,1)+1)-INDEX('Shultis Faw'!$A$2:$A$26,MATCH($C786,'Shultis Faw'!$A$2:$A$26,1))),$C786*'Shultis Faw'!$C$2/'Shultis Faw'!$A$2)</f>
        <v>2.61104</v>
      </c>
      <c r="J786" s="83">
        <f>_xlfn.IFNA(INDEX('Shultis Faw'!$D$2:$D$26,MATCH($C786,'Shultis Faw'!$A$2:$A$26,1))+($C786-INDEX('Shultis Faw'!$A$2:$A$26,MATCH($C786,'Shultis Faw'!$A$2:$A$26,1)))*(INDEX('Shultis Faw'!$D$2:$D$26,MATCH($C786,'Shultis Faw'!$A$2:$A$26,1)+1)-INDEX('Shultis Faw'!$D$2:$D$26,MATCH($C786,'Shultis Faw'!$A$2:$A$26,1)))/(INDEX('Shultis Faw'!$A$2:$A$26,MATCH($C786,'Shultis Faw'!$A$2:$A$26,1)+1)-INDEX('Shultis Faw'!$A$2:$A$26,MATCH($C786,'Shultis Faw'!$A$2:$A$26,1))),$C786*'Shultis Faw'!$D$2/'Shultis Faw'!$A$2)</f>
        <v>1.8465039999999999</v>
      </c>
      <c r="K786" s="83">
        <f>_xlfn.IFNA(INDEX('Shultis Faw'!$B$2:$B$26,MATCH($C786,'Shultis Faw'!$A$2:$A$26,1))+($C786-INDEX('Shultis Faw'!$A$2:$A$26,MATCH($C786,'Shultis Faw'!$A$2:$A$26,1)))*(INDEX('Shultis Faw'!$B$2:$B$26,MATCH($C786,'Shultis Faw'!$A$2:$A$26,1)+1)-INDEX('Shultis Faw'!$B$2:$B$26,MATCH($C786,'Shultis Faw'!$A$2:$A$26,1)))/(INDEX('Shultis Faw'!$A$2:$A$26,MATCH($C786,'Shultis Faw'!$A$2:$A$26,1)+1)-INDEX('Shultis Faw'!$A$2:$A$26,MATCH($C786,'Shultis Faw'!$A$2:$A$26,1))),$C786*'Shultis Faw'!$B$2/'Shultis Faw'!$A$2)</f>
        <v>-0.14471599999999998</v>
      </c>
      <c r="L786" s="83">
        <f>_xlfn.IFNA(INDEX('Shultis Faw'!$E$2:$E$26,MATCH($C786,'Shultis Faw'!$A$2:$A$26,1))+($C786-INDEX('Shultis Faw'!$A$2:$A$26,MATCH($C786,'Shultis Faw'!$A$2:$A$26,1)))*(INDEX('Shultis Faw'!$E$2:$E$26,MATCH($C786,'Shultis Faw'!$A$2:$A$26,1)+1)-INDEX('Shultis Faw'!$E$2:$E$26,MATCH($C786,'Shultis Faw'!$A$2:$A$26,1)))/(INDEX('Shultis Faw'!$A$2:$A$26,MATCH($C786,'Shultis Faw'!$A$2:$A$26,1)+1)-INDEX('Shultis Faw'!$A$2:$A$26,MATCH($C786,'Shultis Faw'!$A$2:$A$26,1))),$C786*'Shultis Faw'!$E$2/'Shultis Faw'!$A$2)</f>
        <v>5.8000599999999999E-2</v>
      </c>
      <c r="M786" s="83">
        <f>_xlfn.IFNA(INDEX('Shultis Faw'!$F$2:$F$26,MATCH($C786,'Shultis Faw'!$A$2:$A$26,1))+($C786-INDEX('Shultis Faw'!$A$2:$A$26,MATCH($C786,'Shultis Faw'!$A$2:$A$26,1)))*(INDEX('Shultis Faw'!$F$2:$F$26,MATCH($C786,'Shultis Faw'!$A$2:$A$26,1)+1)-INDEX('Shultis Faw'!$F$2:$F$26,MATCH($C786,'Shultis Faw'!$A$2:$A$26,1)))/(INDEX('Shultis Faw'!$A$2:$A$26,MATCH($C786,'Shultis Faw'!$A$2:$A$26,1)+1)-INDEX('Shultis Faw'!$A$2:$A$26,MATCH($C786,'Shultis Faw'!$A$2:$A$26,1))),$C786*'Shultis Faw'!$F$2/'Shultis Faw'!$A$2)</f>
        <v>14.26754</v>
      </c>
      <c r="N786" s="83">
        <f>J786*(H786*'Externe blootstelling'!$D$23/2)^K786+L786*(TANH(((H786*'Externe blootstelling'!$D$23)/(2*M786))-2)-TANH(-2))/(1-TANH(-2))</f>
        <v>1.7341754664931797</v>
      </c>
      <c r="O786" s="83">
        <f>IF(N786=1,1+(I786-1)*H786*'Externe blootstelling'!$D$23/2,1+(I786-1)*(N786^(H786*'Externe blootstelling'!$D$23/2)-1)/(N786-1))</f>
        <v>3.9411446612261773</v>
      </c>
      <c r="P786" s="67">
        <f>G786*EXP(-H786*'Externe blootstelling'!$D$23/2)*O786</f>
        <v>3.60643868723916E-4</v>
      </c>
      <c r="Q786" s="68"/>
    </row>
    <row r="787" spans="1:17" x14ac:dyDescent="0.2">
      <c r="A787" s="220"/>
      <c r="B787" s="64" t="s">
        <v>104</v>
      </c>
      <c r="C787" s="66">
        <v>0.43245</v>
      </c>
      <c r="D787" s="66">
        <f t="shared" si="49"/>
        <v>6.9191999999999999E-14</v>
      </c>
      <c r="E787" s="66">
        <v>3.5599999999999998E-4</v>
      </c>
      <c r="F787" s="66">
        <f>_xlfn.IFNA(INDEX('hp (pSv cm2)'!$B$2:$B$52,MATCH($C787,'hp (pSv cm2)'!$A$2:$A$52,1))+($C787-INDEX('hp (pSv cm2)'!$A$2:$A$52,MATCH($C787,'hp (pSv cm2)'!$A$2:$A$52,1)))*(INDEX('hp (pSv cm2)'!$B$2:$B$52,MATCH($C787,'hp (pSv cm2)'!$A$2:$A$52,1)+1)-INDEX('hp (pSv cm2)'!$B$2:$B$52,MATCH($C787,'hp (pSv cm2)'!$A$2:$A$52,1)))/(INDEX('hp (pSv cm2)'!$A$2:$A$52,MATCH($C787,'hp (pSv cm2)'!$A$2:$A$52,1)+1)-INDEX('hp (pSv cm2)'!$A$2:$A$52,MATCH($C787,'hp (pSv cm2)'!$A$2:$A$52,1))),$C787*'hp (pSv cm2)'!$B$2/'hp (pSv cm2)'!$A$2)</f>
        <v>2.1525150000000002</v>
      </c>
      <c r="G787" s="67">
        <f t="shared" si="51"/>
        <v>7.6629534E-4</v>
      </c>
      <c r="H787" s="83">
        <f>_xlfn.IFNA(0.997*(INDEX('Mass attenuation coefficients'!$B$2:$B$37,MATCH($C787,'Mass attenuation coefficients'!$A$2:$A$37,1))+($C787-INDEX('Mass attenuation coefficients'!$A$2:$A$37,MATCH($C787,'Mass attenuation coefficients'!$A$2:$A$37,1)))*(INDEX('Mass attenuation coefficients'!$B$2:$B$37,MATCH($C787,'Mass attenuation coefficients'!$A$2:$A$37,1)+1)-INDEX('Mass attenuation coefficients'!$B$2:$B$37,MATCH($C787,'Mass attenuation coefficients'!$A$2:$A$37,1)))/(INDEX('Mass attenuation coefficients'!$A$2:$A$37,MATCH($C787,'Mass attenuation coefficients'!$A$2:$A$37,1)+1)-INDEX('Mass attenuation coefficients'!$A$2:$A$37,MATCH($C787,'Mass attenuation coefficients'!$A$2:$A$37,1)))),0.997*$C787*'Mass attenuation coefficients'!$B$2/'Mass attenuation coefficients'!$A$2)</f>
        <v>0.10279555040500001</v>
      </c>
      <c r="I787" s="83">
        <f>_xlfn.IFNA(INDEX('Shultis Faw'!$C$2:$C$26,MATCH($C787,'Shultis Faw'!$A$2:$A$26,1))+($C787-INDEX('Shultis Faw'!$A$2:$A$26,MATCH($C787,'Shultis Faw'!$A$2:$A$26,1)))*(INDEX('Shultis Faw'!$C$2:$C$26,MATCH($C787,'Shultis Faw'!$A$2:$A$26,1)+1)-INDEX('Shultis Faw'!$C$2:$C$26,MATCH($C787,'Shultis Faw'!$A$2:$A$26,1)))/(INDEX('Shultis Faw'!$A$2:$A$26,MATCH($C787,'Shultis Faw'!$A$2:$A$26,1)+1)-INDEX('Shultis Faw'!$A$2:$A$26,MATCH($C787,'Shultis Faw'!$A$2:$A$26,1))),$C787*'Shultis Faw'!$C$2/'Shultis Faw'!$A$2)</f>
        <v>2.6080800000000002</v>
      </c>
      <c r="J787" s="83">
        <f>_xlfn.IFNA(INDEX('Shultis Faw'!$D$2:$D$26,MATCH($C787,'Shultis Faw'!$A$2:$A$26,1))+($C787-INDEX('Shultis Faw'!$A$2:$A$26,MATCH($C787,'Shultis Faw'!$A$2:$A$26,1)))*(INDEX('Shultis Faw'!$D$2:$D$26,MATCH($C787,'Shultis Faw'!$A$2:$A$26,1)+1)-INDEX('Shultis Faw'!$D$2:$D$26,MATCH($C787,'Shultis Faw'!$A$2:$A$26,1)))/(INDEX('Shultis Faw'!$A$2:$A$26,MATCH($C787,'Shultis Faw'!$A$2:$A$26,1)+1)-INDEX('Shultis Faw'!$A$2:$A$26,MATCH($C787,'Shultis Faw'!$A$2:$A$26,1))),$C787*'Shultis Faw'!$D$2/'Shultis Faw'!$A$2)</f>
        <v>1.8443579999999999</v>
      </c>
      <c r="K787" s="83">
        <f>_xlfn.IFNA(INDEX('Shultis Faw'!$B$2:$B$26,MATCH($C787,'Shultis Faw'!$A$2:$A$26,1))+($C787-INDEX('Shultis Faw'!$A$2:$A$26,MATCH($C787,'Shultis Faw'!$A$2:$A$26,1)))*(INDEX('Shultis Faw'!$B$2:$B$26,MATCH($C787,'Shultis Faw'!$A$2:$A$26,1)+1)-INDEX('Shultis Faw'!$B$2:$B$26,MATCH($C787,'Shultis Faw'!$A$2:$A$26,1)))/(INDEX('Shultis Faw'!$A$2:$A$26,MATCH($C787,'Shultis Faw'!$A$2:$A$26,1)+1)-INDEX('Shultis Faw'!$A$2:$A$26,MATCH($C787,'Shultis Faw'!$A$2:$A$26,1))),$C787*'Shultis Faw'!$B$2/'Shultis Faw'!$A$2)</f>
        <v>-0.144457</v>
      </c>
      <c r="L787" s="83">
        <f>_xlfn.IFNA(INDEX('Shultis Faw'!$E$2:$E$26,MATCH($C787,'Shultis Faw'!$A$2:$A$26,1))+($C787-INDEX('Shultis Faw'!$A$2:$A$26,MATCH($C787,'Shultis Faw'!$A$2:$A$26,1)))*(INDEX('Shultis Faw'!$E$2:$E$26,MATCH($C787,'Shultis Faw'!$A$2:$A$26,1)+1)-INDEX('Shultis Faw'!$E$2:$E$26,MATCH($C787,'Shultis Faw'!$A$2:$A$26,1)))/(INDEX('Shultis Faw'!$A$2:$A$26,MATCH($C787,'Shultis Faw'!$A$2:$A$26,1)+1)-INDEX('Shultis Faw'!$A$2:$A$26,MATCH($C787,'Shultis Faw'!$A$2:$A$26,1))),$C787*'Shultis Faw'!$E$2/'Shultis Faw'!$A$2)</f>
        <v>5.7909950000000002E-2</v>
      </c>
      <c r="M787" s="83">
        <f>_xlfn.IFNA(INDEX('Shultis Faw'!$F$2:$F$26,MATCH($C787,'Shultis Faw'!$A$2:$A$26,1))+($C787-INDEX('Shultis Faw'!$A$2:$A$26,MATCH($C787,'Shultis Faw'!$A$2:$A$26,1)))*(INDEX('Shultis Faw'!$F$2:$F$26,MATCH($C787,'Shultis Faw'!$A$2:$A$26,1)+1)-INDEX('Shultis Faw'!$F$2:$F$26,MATCH($C787,'Shultis Faw'!$A$2:$A$26,1)))/(INDEX('Shultis Faw'!$A$2:$A$26,MATCH($C787,'Shultis Faw'!$A$2:$A$26,1)+1)-INDEX('Shultis Faw'!$A$2:$A$26,MATCH($C787,'Shultis Faw'!$A$2:$A$26,1))),$C787*'Shultis Faw'!$F$2/'Shultis Faw'!$A$2)</f>
        <v>14.269204999999999</v>
      </c>
      <c r="N787" s="83">
        <f>J787*(H787*'Externe blootstelling'!$D$23/2)^K787+L787*(TANH(((H787*'Externe blootstelling'!$D$23)/(2*M787))-2)-TANH(-2))/(1-TANH(-2))</f>
        <v>1.7327685151685475</v>
      </c>
      <c r="O787" s="83">
        <f>IF(N787=1,1+(I787-1)*H787*'Externe blootstelling'!$D$23/2,1+(I787-1)*(N787^(H787*'Externe blootstelling'!$D$23/2)-1)/(N787-1))</f>
        <v>3.9277478050372046</v>
      </c>
      <c r="P787" s="67">
        <f>G787*EXP(-H787*'Externe blootstelling'!$D$23/2)*O787</f>
        <v>6.4400119695240746E-4</v>
      </c>
      <c r="Q787" s="68"/>
    </row>
    <row r="788" spans="1:17" x14ac:dyDescent="0.2">
      <c r="A788" s="220"/>
      <c r="B788" s="64" t="s">
        <v>104</v>
      </c>
      <c r="C788" s="66">
        <v>0.44503300000000001</v>
      </c>
      <c r="D788" s="66">
        <f t="shared" si="49"/>
        <v>7.1205279999999998E-14</v>
      </c>
      <c r="E788" s="66">
        <v>1.2800000000000001E-2</v>
      </c>
      <c r="F788" s="66">
        <f>_xlfn.IFNA(INDEX('hp (pSv cm2)'!$B$2:$B$52,MATCH($C788,'hp (pSv cm2)'!$A$2:$A$52,1))+($C788-INDEX('hp (pSv cm2)'!$A$2:$A$52,MATCH($C788,'hp (pSv cm2)'!$A$2:$A$52,1)))*(INDEX('hp (pSv cm2)'!$B$2:$B$52,MATCH($C788,'hp (pSv cm2)'!$A$2:$A$52,1)+1)-INDEX('hp (pSv cm2)'!$B$2:$B$52,MATCH($C788,'hp (pSv cm2)'!$A$2:$A$52,1)))/(INDEX('hp (pSv cm2)'!$A$2:$A$52,MATCH($C788,'hp (pSv cm2)'!$A$2:$A$52,1)+1)-INDEX('hp (pSv cm2)'!$A$2:$A$52,MATCH($C788,'hp (pSv cm2)'!$A$2:$A$52,1))),$C788*'hp (pSv cm2)'!$B$2/'hp (pSv cm2)'!$A$2)</f>
        <v>2.2116551000000002</v>
      </c>
      <c r="G788" s="67">
        <f t="shared" si="51"/>
        <v>2.8309185280000003E-2</v>
      </c>
      <c r="H788" s="83">
        <f>_xlfn.IFNA(0.997*(INDEX('Mass attenuation coefficients'!$B$2:$B$37,MATCH($C788,'Mass attenuation coefficients'!$A$2:$A$37,1))+($C788-INDEX('Mass attenuation coefficients'!$A$2:$A$37,MATCH($C788,'Mass attenuation coefficients'!$A$2:$A$37,1)))*(INDEX('Mass attenuation coefficients'!$B$2:$B$37,MATCH($C788,'Mass attenuation coefficients'!$A$2:$A$37,1)+1)-INDEX('Mass attenuation coefficients'!$B$2:$B$37,MATCH($C788,'Mass attenuation coefficients'!$A$2:$A$37,1)))/(INDEX('Mass attenuation coefficients'!$A$2:$A$37,MATCH($C788,'Mass attenuation coefficients'!$A$2:$A$37,1)+1)-INDEX('Mass attenuation coefficients'!$A$2:$A$37,MATCH($C788,'Mass attenuation coefficients'!$A$2:$A$37,1)))),0.997*$C788*'Mass attenuation coefficients'!$B$2/'Mass attenuation coefficients'!$A$2)</f>
        <v>0.10163762373769999</v>
      </c>
      <c r="I788" s="83">
        <f>_xlfn.IFNA(INDEX('Shultis Faw'!$C$2:$C$26,MATCH($C788,'Shultis Faw'!$A$2:$A$26,1))+($C788-INDEX('Shultis Faw'!$A$2:$A$26,MATCH($C788,'Shultis Faw'!$A$2:$A$26,1)))*(INDEX('Shultis Faw'!$C$2:$C$26,MATCH($C788,'Shultis Faw'!$A$2:$A$26,1)+1)-INDEX('Shultis Faw'!$C$2:$C$26,MATCH($C788,'Shultis Faw'!$A$2:$A$26,1)))/(INDEX('Shultis Faw'!$A$2:$A$26,MATCH($C788,'Shultis Faw'!$A$2:$A$26,1)+1)-INDEX('Shultis Faw'!$A$2:$A$26,MATCH($C788,'Shultis Faw'!$A$2:$A$26,1))),$C788*'Shultis Faw'!$C$2/'Shultis Faw'!$A$2)</f>
        <v>2.5879471999999999</v>
      </c>
      <c r="J788" s="83">
        <f>_xlfn.IFNA(INDEX('Shultis Faw'!$D$2:$D$26,MATCH($C788,'Shultis Faw'!$A$2:$A$26,1))+($C788-INDEX('Shultis Faw'!$A$2:$A$26,MATCH($C788,'Shultis Faw'!$A$2:$A$26,1)))*(INDEX('Shultis Faw'!$D$2:$D$26,MATCH($C788,'Shultis Faw'!$A$2:$A$26,1)+1)-INDEX('Shultis Faw'!$D$2:$D$26,MATCH($C788,'Shultis Faw'!$A$2:$A$26,1)))/(INDEX('Shultis Faw'!$A$2:$A$26,MATCH($C788,'Shultis Faw'!$A$2:$A$26,1)+1)-INDEX('Shultis Faw'!$A$2:$A$26,MATCH($C788,'Shultis Faw'!$A$2:$A$26,1))),$C788*'Shultis Faw'!$D$2/'Shultis Faw'!$A$2)</f>
        <v>1.82976172</v>
      </c>
      <c r="K788" s="83">
        <f>_xlfn.IFNA(INDEX('Shultis Faw'!$B$2:$B$26,MATCH($C788,'Shultis Faw'!$A$2:$A$26,1))+($C788-INDEX('Shultis Faw'!$A$2:$A$26,MATCH($C788,'Shultis Faw'!$A$2:$A$26,1)))*(INDEX('Shultis Faw'!$B$2:$B$26,MATCH($C788,'Shultis Faw'!$A$2:$A$26,1)+1)-INDEX('Shultis Faw'!$B$2:$B$26,MATCH($C788,'Shultis Faw'!$A$2:$A$26,1)))/(INDEX('Shultis Faw'!$A$2:$A$26,MATCH($C788,'Shultis Faw'!$A$2:$A$26,1)+1)-INDEX('Shultis Faw'!$A$2:$A$26,MATCH($C788,'Shultis Faw'!$A$2:$A$26,1))),$C788*'Shultis Faw'!$B$2/'Shultis Faw'!$A$2)</f>
        <v>-0.14269538000000001</v>
      </c>
      <c r="L788" s="83">
        <f>_xlfn.IFNA(INDEX('Shultis Faw'!$E$2:$E$26,MATCH($C788,'Shultis Faw'!$A$2:$A$26,1))+($C788-INDEX('Shultis Faw'!$A$2:$A$26,MATCH($C788,'Shultis Faw'!$A$2:$A$26,1)))*(INDEX('Shultis Faw'!$E$2:$E$26,MATCH($C788,'Shultis Faw'!$A$2:$A$26,1)+1)-INDEX('Shultis Faw'!$E$2:$E$26,MATCH($C788,'Shultis Faw'!$A$2:$A$26,1)))/(INDEX('Shultis Faw'!$A$2:$A$26,MATCH($C788,'Shultis Faw'!$A$2:$A$26,1)+1)-INDEX('Shultis Faw'!$A$2:$A$26,MATCH($C788,'Shultis Faw'!$A$2:$A$26,1))),$C788*'Shultis Faw'!$E$2/'Shultis Faw'!$A$2)</f>
        <v>5.7293383000000003E-2</v>
      </c>
      <c r="M788" s="83">
        <f>_xlfn.IFNA(INDEX('Shultis Faw'!$F$2:$F$26,MATCH($C788,'Shultis Faw'!$A$2:$A$26,1))+($C788-INDEX('Shultis Faw'!$A$2:$A$26,MATCH($C788,'Shultis Faw'!$A$2:$A$26,1)))*(INDEX('Shultis Faw'!$F$2:$F$26,MATCH($C788,'Shultis Faw'!$A$2:$A$26,1)+1)-INDEX('Shultis Faw'!$F$2:$F$26,MATCH($C788,'Shultis Faw'!$A$2:$A$26,1)))/(INDEX('Shultis Faw'!$A$2:$A$26,MATCH($C788,'Shultis Faw'!$A$2:$A$26,1)+1)-INDEX('Shultis Faw'!$A$2:$A$26,MATCH($C788,'Shultis Faw'!$A$2:$A$26,1))),$C788*'Shultis Faw'!$F$2/'Shultis Faw'!$A$2)</f>
        <v>14.280529700000001</v>
      </c>
      <c r="N788" s="83">
        <f>J788*(H788*'Externe blootstelling'!$D$23/2)^K788+L788*(TANH(((H788*'Externe blootstelling'!$D$23)/(2*M788))-2)-TANH(-2))/(1-TANH(-2))</f>
        <v>1.7231458722992292</v>
      </c>
      <c r="O788" s="83">
        <f>IF(N788=1,1+(I788-1)*H788*'Externe blootstelling'!$D$23/2,1+(I788-1)*(N788^(H788*'Externe blootstelling'!$D$23/2)-1)/(N788-1))</f>
        <v>3.8379394911104301</v>
      </c>
      <c r="P788" s="67">
        <f>G788*EXP(-H788*'Externe blootstelling'!$D$23/2)*O788</f>
        <v>2.3654599920789991E-2</v>
      </c>
      <c r="Q788" s="68"/>
    </row>
    <row r="789" spans="1:17" x14ac:dyDescent="0.2">
      <c r="A789" s="220"/>
      <c r="B789" s="64" t="s">
        <v>104</v>
      </c>
      <c r="C789" s="66">
        <v>0.48749999999999999</v>
      </c>
      <c r="D789" s="66">
        <f t="shared" si="49"/>
        <v>7.7999999999999996E-14</v>
      </c>
      <c r="E789" s="66">
        <v>1.0999999999999999E-4</v>
      </c>
      <c r="F789" s="66">
        <f>_xlfn.IFNA(INDEX('hp (pSv cm2)'!$B$2:$B$52,MATCH($C789,'hp (pSv cm2)'!$A$2:$A$52,1))+($C789-INDEX('hp (pSv cm2)'!$A$2:$A$52,MATCH($C789,'hp (pSv cm2)'!$A$2:$A$52,1)))*(INDEX('hp (pSv cm2)'!$B$2:$B$52,MATCH($C789,'hp (pSv cm2)'!$A$2:$A$52,1)+1)-INDEX('hp (pSv cm2)'!$B$2:$B$52,MATCH($C789,'hp (pSv cm2)'!$A$2:$A$52,1)))/(INDEX('hp (pSv cm2)'!$A$2:$A$52,MATCH($C789,'hp (pSv cm2)'!$A$2:$A$52,1)+1)-INDEX('hp (pSv cm2)'!$A$2:$A$52,MATCH($C789,'hp (pSv cm2)'!$A$2:$A$52,1))),$C789*'hp (pSv cm2)'!$B$2/'hp (pSv cm2)'!$A$2)</f>
        <v>2.4112499999999999</v>
      </c>
      <c r="G789" s="67">
        <f t="shared" si="51"/>
        <v>2.6523749999999999E-4</v>
      </c>
      <c r="H789" s="83">
        <f>_xlfn.IFNA(0.997*(INDEX('Mass attenuation coefficients'!$B$2:$B$37,MATCH($C789,'Mass attenuation coefficients'!$A$2:$A$37,1))+($C789-INDEX('Mass attenuation coefficients'!$A$2:$A$37,MATCH($C789,'Mass attenuation coefficients'!$A$2:$A$37,1)))*(INDEX('Mass attenuation coefficients'!$B$2:$B$37,MATCH($C789,'Mass attenuation coefficients'!$A$2:$A$37,1)+1)-INDEX('Mass attenuation coefficients'!$B$2:$B$37,MATCH($C789,'Mass attenuation coefficients'!$A$2:$A$37,1)))/(INDEX('Mass attenuation coefficients'!$A$2:$A$37,MATCH($C789,'Mass attenuation coefficients'!$A$2:$A$37,1)+1)-INDEX('Mass attenuation coefficients'!$A$2:$A$37,MATCH($C789,'Mass attenuation coefficients'!$A$2:$A$37,1)))),0.997*$C789*'Mass attenuation coefficients'!$B$2/'Mass attenuation coefficients'!$A$2)</f>
        <v>9.7729678749999993E-2</v>
      </c>
      <c r="I789" s="83">
        <f>_xlfn.IFNA(INDEX('Shultis Faw'!$C$2:$C$26,MATCH($C789,'Shultis Faw'!$A$2:$A$26,1))+($C789-INDEX('Shultis Faw'!$A$2:$A$26,MATCH($C789,'Shultis Faw'!$A$2:$A$26,1)))*(INDEX('Shultis Faw'!$C$2:$C$26,MATCH($C789,'Shultis Faw'!$A$2:$A$26,1)+1)-INDEX('Shultis Faw'!$C$2:$C$26,MATCH($C789,'Shultis Faw'!$A$2:$A$26,1)))/(INDEX('Shultis Faw'!$A$2:$A$26,MATCH($C789,'Shultis Faw'!$A$2:$A$26,1)+1)-INDEX('Shultis Faw'!$A$2:$A$26,MATCH($C789,'Shultis Faw'!$A$2:$A$26,1))),$C789*'Shultis Faw'!$C$2/'Shultis Faw'!$A$2)</f>
        <v>2.52</v>
      </c>
      <c r="J789" s="83">
        <f>_xlfn.IFNA(INDEX('Shultis Faw'!$D$2:$D$26,MATCH($C789,'Shultis Faw'!$A$2:$A$26,1))+($C789-INDEX('Shultis Faw'!$A$2:$A$26,MATCH($C789,'Shultis Faw'!$A$2:$A$26,1)))*(INDEX('Shultis Faw'!$D$2:$D$26,MATCH($C789,'Shultis Faw'!$A$2:$A$26,1)+1)-INDEX('Shultis Faw'!$D$2:$D$26,MATCH($C789,'Shultis Faw'!$A$2:$A$26,1)))/(INDEX('Shultis Faw'!$A$2:$A$26,MATCH($C789,'Shultis Faw'!$A$2:$A$26,1)+1)-INDEX('Shultis Faw'!$A$2:$A$26,MATCH($C789,'Shultis Faw'!$A$2:$A$26,1))),$C789*'Shultis Faw'!$D$2/'Shultis Faw'!$A$2)</f>
        <v>1.7805</v>
      </c>
      <c r="K789" s="83">
        <f>_xlfn.IFNA(INDEX('Shultis Faw'!$B$2:$B$26,MATCH($C789,'Shultis Faw'!$A$2:$A$26,1))+($C789-INDEX('Shultis Faw'!$A$2:$A$26,MATCH($C789,'Shultis Faw'!$A$2:$A$26,1)))*(INDEX('Shultis Faw'!$B$2:$B$26,MATCH($C789,'Shultis Faw'!$A$2:$A$26,1)+1)-INDEX('Shultis Faw'!$B$2:$B$26,MATCH($C789,'Shultis Faw'!$A$2:$A$26,1)))/(INDEX('Shultis Faw'!$A$2:$A$26,MATCH($C789,'Shultis Faw'!$A$2:$A$26,1)+1)-INDEX('Shultis Faw'!$A$2:$A$26,MATCH($C789,'Shultis Faw'!$A$2:$A$26,1))),$C789*'Shultis Faw'!$B$2/'Shultis Faw'!$A$2)</f>
        <v>-0.13675000000000001</v>
      </c>
      <c r="L789" s="83">
        <f>_xlfn.IFNA(INDEX('Shultis Faw'!$E$2:$E$26,MATCH($C789,'Shultis Faw'!$A$2:$A$26,1))+($C789-INDEX('Shultis Faw'!$A$2:$A$26,MATCH($C789,'Shultis Faw'!$A$2:$A$26,1)))*(INDEX('Shultis Faw'!$E$2:$E$26,MATCH($C789,'Shultis Faw'!$A$2:$A$26,1)+1)-INDEX('Shultis Faw'!$E$2:$E$26,MATCH($C789,'Shultis Faw'!$A$2:$A$26,1)))/(INDEX('Shultis Faw'!$A$2:$A$26,MATCH($C789,'Shultis Faw'!$A$2:$A$26,1)+1)-INDEX('Shultis Faw'!$A$2:$A$26,MATCH($C789,'Shultis Faw'!$A$2:$A$26,1))),$C789*'Shultis Faw'!$E$2/'Shultis Faw'!$A$2)</f>
        <v>5.5212500000000005E-2</v>
      </c>
      <c r="M789" s="83">
        <f>_xlfn.IFNA(INDEX('Shultis Faw'!$F$2:$F$26,MATCH($C789,'Shultis Faw'!$A$2:$A$26,1))+($C789-INDEX('Shultis Faw'!$A$2:$A$26,MATCH($C789,'Shultis Faw'!$A$2:$A$26,1)))*(INDEX('Shultis Faw'!$F$2:$F$26,MATCH($C789,'Shultis Faw'!$A$2:$A$26,1)+1)-INDEX('Shultis Faw'!$F$2:$F$26,MATCH($C789,'Shultis Faw'!$A$2:$A$26,1)))/(INDEX('Shultis Faw'!$A$2:$A$26,MATCH($C789,'Shultis Faw'!$A$2:$A$26,1)+1)-INDEX('Shultis Faw'!$A$2:$A$26,MATCH($C789,'Shultis Faw'!$A$2:$A$26,1))),$C789*'Shultis Faw'!$F$2/'Shultis Faw'!$A$2)</f>
        <v>14.31875</v>
      </c>
      <c r="N789" s="83">
        <f>J789*(H789*'Externe blootstelling'!$D$23/2)^K789+L789*(TANH(((H789*'Externe blootstelling'!$D$23)/(2*M789))-2)-TANH(-2))/(1-TANH(-2))</f>
        <v>1.6899861083419785</v>
      </c>
      <c r="O789" s="83">
        <f>IF(N789=1,1+(I789-1)*H789*'Externe blootstelling'!$D$23/2,1+(I789-1)*(N789^(H789*'Externe blootstelling'!$D$23/2)-1)/(N789-1))</f>
        <v>3.551147371454066</v>
      </c>
      <c r="P789" s="67">
        <f>G789*EXP(-H789*'Externe blootstelling'!$D$23/2)*O789</f>
        <v>2.1744614795770465E-4</v>
      </c>
      <c r="Q789" s="68"/>
    </row>
    <row r="790" spans="1:17" x14ac:dyDescent="0.2">
      <c r="A790" s="220"/>
      <c r="B790" s="64" t="s">
        <v>104</v>
      </c>
      <c r="C790" s="66">
        <v>0.49080000000000001</v>
      </c>
      <c r="D790" s="66">
        <f t="shared" si="49"/>
        <v>7.8528000000000001E-14</v>
      </c>
      <c r="E790" s="66">
        <v>1.7E-5</v>
      </c>
      <c r="F790" s="66">
        <f>_xlfn.IFNA(INDEX('hp (pSv cm2)'!$B$2:$B$52,MATCH($C790,'hp (pSv cm2)'!$A$2:$A$52,1))+($C790-INDEX('hp (pSv cm2)'!$A$2:$A$52,MATCH($C790,'hp (pSv cm2)'!$A$2:$A$52,1)))*(INDEX('hp (pSv cm2)'!$B$2:$B$52,MATCH($C790,'hp (pSv cm2)'!$A$2:$A$52,1)+1)-INDEX('hp (pSv cm2)'!$B$2:$B$52,MATCH($C790,'hp (pSv cm2)'!$A$2:$A$52,1)))/(INDEX('hp (pSv cm2)'!$A$2:$A$52,MATCH($C790,'hp (pSv cm2)'!$A$2:$A$52,1)+1)-INDEX('hp (pSv cm2)'!$A$2:$A$52,MATCH($C790,'hp (pSv cm2)'!$A$2:$A$52,1))),$C790*'hp (pSv cm2)'!$B$2/'hp (pSv cm2)'!$A$2)</f>
        <v>2.4267600000000003</v>
      </c>
      <c r="G790" s="67">
        <f t="shared" si="51"/>
        <v>4.1254920000000005E-5</v>
      </c>
      <c r="H790" s="83">
        <f>_xlfn.IFNA(0.997*(INDEX('Mass attenuation coefficients'!$B$2:$B$37,MATCH($C790,'Mass attenuation coefficients'!$A$2:$A$37,1))+($C790-INDEX('Mass attenuation coefficients'!$A$2:$A$37,MATCH($C790,'Mass attenuation coefficients'!$A$2:$A$37,1)))*(INDEX('Mass attenuation coefficients'!$B$2:$B$37,MATCH($C790,'Mass attenuation coefficients'!$A$2:$A$37,1)+1)-INDEX('Mass attenuation coefficients'!$B$2:$B$37,MATCH($C790,'Mass attenuation coefficients'!$A$2:$A$37,1)))/(INDEX('Mass attenuation coefficients'!$A$2:$A$37,MATCH($C790,'Mass attenuation coefficients'!$A$2:$A$37,1)+1)-INDEX('Mass attenuation coefficients'!$A$2:$A$37,MATCH($C790,'Mass attenuation coefficients'!$A$2:$A$37,1)))),0.997*$C790*'Mass attenuation coefficients'!$B$2/'Mass attenuation coefficients'!$A$2)</f>
        <v>9.7426002519999999E-2</v>
      </c>
      <c r="I790" s="83">
        <f>_xlfn.IFNA(INDEX('Shultis Faw'!$C$2:$C$26,MATCH($C790,'Shultis Faw'!$A$2:$A$26,1))+($C790-INDEX('Shultis Faw'!$A$2:$A$26,MATCH($C790,'Shultis Faw'!$A$2:$A$26,1)))*(INDEX('Shultis Faw'!$C$2:$C$26,MATCH($C790,'Shultis Faw'!$A$2:$A$26,1)+1)-INDEX('Shultis Faw'!$C$2:$C$26,MATCH($C790,'Shultis Faw'!$A$2:$A$26,1)))/(INDEX('Shultis Faw'!$A$2:$A$26,MATCH($C790,'Shultis Faw'!$A$2:$A$26,1)+1)-INDEX('Shultis Faw'!$A$2:$A$26,MATCH($C790,'Shultis Faw'!$A$2:$A$26,1))),$C790*'Shultis Faw'!$C$2/'Shultis Faw'!$A$2)</f>
        <v>2.5147200000000001</v>
      </c>
      <c r="J790" s="83">
        <f>_xlfn.IFNA(INDEX('Shultis Faw'!$D$2:$D$26,MATCH($C790,'Shultis Faw'!$A$2:$A$26,1))+($C790-INDEX('Shultis Faw'!$A$2:$A$26,MATCH($C790,'Shultis Faw'!$A$2:$A$26,1)))*(INDEX('Shultis Faw'!$D$2:$D$26,MATCH($C790,'Shultis Faw'!$A$2:$A$26,1)+1)-INDEX('Shultis Faw'!$D$2:$D$26,MATCH($C790,'Shultis Faw'!$A$2:$A$26,1)))/(INDEX('Shultis Faw'!$A$2:$A$26,MATCH($C790,'Shultis Faw'!$A$2:$A$26,1)+1)-INDEX('Shultis Faw'!$A$2:$A$26,MATCH($C790,'Shultis Faw'!$A$2:$A$26,1))),$C790*'Shultis Faw'!$D$2/'Shultis Faw'!$A$2)</f>
        <v>1.776672</v>
      </c>
      <c r="K790" s="83">
        <f>_xlfn.IFNA(INDEX('Shultis Faw'!$B$2:$B$26,MATCH($C790,'Shultis Faw'!$A$2:$A$26,1))+($C790-INDEX('Shultis Faw'!$A$2:$A$26,MATCH($C790,'Shultis Faw'!$A$2:$A$26,1)))*(INDEX('Shultis Faw'!$B$2:$B$26,MATCH($C790,'Shultis Faw'!$A$2:$A$26,1)+1)-INDEX('Shultis Faw'!$B$2:$B$26,MATCH($C790,'Shultis Faw'!$A$2:$A$26,1)))/(INDEX('Shultis Faw'!$A$2:$A$26,MATCH($C790,'Shultis Faw'!$A$2:$A$26,1)+1)-INDEX('Shultis Faw'!$A$2:$A$26,MATCH($C790,'Shultis Faw'!$A$2:$A$26,1))),$C790*'Shultis Faw'!$B$2/'Shultis Faw'!$A$2)</f>
        <v>-0.13628799999999999</v>
      </c>
      <c r="L790" s="83">
        <f>_xlfn.IFNA(INDEX('Shultis Faw'!$E$2:$E$26,MATCH($C790,'Shultis Faw'!$A$2:$A$26,1))+($C790-INDEX('Shultis Faw'!$A$2:$A$26,MATCH($C790,'Shultis Faw'!$A$2:$A$26,1)))*(INDEX('Shultis Faw'!$E$2:$E$26,MATCH($C790,'Shultis Faw'!$A$2:$A$26,1)+1)-INDEX('Shultis Faw'!$E$2:$E$26,MATCH($C790,'Shultis Faw'!$A$2:$A$26,1)))/(INDEX('Shultis Faw'!$A$2:$A$26,MATCH($C790,'Shultis Faw'!$A$2:$A$26,1)+1)-INDEX('Shultis Faw'!$A$2:$A$26,MATCH($C790,'Shultis Faw'!$A$2:$A$26,1))),$C790*'Shultis Faw'!$E$2/'Shultis Faw'!$A$2)</f>
        <v>5.5050800000000004E-2</v>
      </c>
      <c r="M790" s="83">
        <f>_xlfn.IFNA(INDEX('Shultis Faw'!$F$2:$F$26,MATCH($C790,'Shultis Faw'!$A$2:$A$26,1))+($C790-INDEX('Shultis Faw'!$A$2:$A$26,MATCH($C790,'Shultis Faw'!$A$2:$A$26,1)))*(INDEX('Shultis Faw'!$F$2:$F$26,MATCH($C790,'Shultis Faw'!$A$2:$A$26,1)+1)-INDEX('Shultis Faw'!$F$2:$F$26,MATCH($C790,'Shultis Faw'!$A$2:$A$26,1)))/(INDEX('Shultis Faw'!$A$2:$A$26,MATCH($C790,'Shultis Faw'!$A$2:$A$26,1)+1)-INDEX('Shultis Faw'!$A$2:$A$26,MATCH($C790,'Shultis Faw'!$A$2:$A$26,1))),$C790*'Shultis Faw'!$F$2/'Shultis Faw'!$A$2)</f>
        <v>14.321720000000001</v>
      </c>
      <c r="N790" s="83">
        <f>J790*(H790*'Externe blootstelling'!$D$23/2)^K790+L790*(TANH(((H790*'Externe blootstelling'!$D$23)/(2*M790))-2)-TANH(-2))/(1-TANH(-2))</f>
        <v>1.687365153818172</v>
      </c>
      <c r="O790" s="83">
        <f>IF(N790=1,1+(I790-1)*H790*'Externe blootstelling'!$D$23/2,1+(I790-1)*(N790^(H790*'Externe blootstelling'!$D$23/2)-1)/(N790-1))</f>
        <v>3.5298773433719779</v>
      </c>
      <c r="P790" s="67">
        <f>G790*EXP(-H790*'Externe blootstelling'!$D$23/2)*O790</f>
        <v>3.3772385246482631E-5</v>
      </c>
      <c r="Q790" s="68"/>
    </row>
    <row r="791" spans="1:17" x14ac:dyDescent="0.2">
      <c r="A791" s="220"/>
      <c r="B791" s="64" t="s">
        <v>104</v>
      </c>
      <c r="C791" s="66">
        <v>0.5</v>
      </c>
      <c r="D791" s="66">
        <f t="shared" si="49"/>
        <v>8E-14</v>
      </c>
      <c r="E791" s="66">
        <v>1.4E-5</v>
      </c>
      <c r="F791" s="66">
        <f>_xlfn.IFNA(INDEX('hp (pSv cm2)'!$B$2:$B$52,MATCH($C791,'hp (pSv cm2)'!$A$2:$A$52,1))+($C791-INDEX('hp (pSv cm2)'!$A$2:$A$52,MATCH($C791,'hp (pSv cm2)'!$A$2:$A$52,1)))*(INDEX('hp (pSv cm2)'!$B$2:$B$52,MATCH($C791,'hp (pSv cm2)'!$A$2:$A$52,1)+1)-INDEX('hp (pSv cm2)'!$B$2:$B$52,MATCH($C791,'hp (pSv cm2)'!$A$2:$A$52,1)))/(INDEX('hp (pSv cm2)'!$A$2:$A$52,MATCH($C791,'hp (pSv cm2)'!$A$2:$A$52,1)+1)-INDEX('hp (pSv cm2)'!$A$2:$A$52,MATCH($C791,'hp (pSv cm2)'!$A$2:$A$52,1))),$C791*'hp (pSv cm2)'!$B$2/'hp (pSv cm2)'!$A$2)</f>
        <v>2.4700000000000002</v>
      </c>
      <c r="G791" s="67">
        <f t="shared" si="51"/>
        <v>3.4580000000000004E-5</v>
      </c>
      <c r="H791" s="83">
        <f>_xlfn.IFNA(0.997*(INDEX('Mass attenuation coefficients'!$B$2:$B$37,MATCH($C791,'Mass attenuation coefficients'!$A$2:$A$37,1))+($C791-INDEX('Mass attenuation coefficients'!$A$2:$A$37,MATCH($C791,'Mass attenuation coefficients'!$A$2:$A$37,1)))*(INDEX('Mass attenuation coefficients'!$B$2:$B$37,MATCH($C791,'Mass attenuation coefficients'!$A$2:$A$37,1)+1)-INDEX('Mass attenuation coefficients'!$B$2:$B$37,MATCH($C791,'Mass attenuation coefficients'!$A$2:$A$37,1)))/(INDEX('Mass attenuation coefficients'!$A$2:$A$37,MATCH($C791,'Mass attenuation coefficients'!$A$2:$A$37,1)+1)-INDEX('Mass attenuation coefficients'!$A$2:$A$37,MATCH($C791,'Mass attenuation coefficients'!$A$2:$A$37,1)))),0.997*$C791*'Mass attenuation coefficients'!$B$2/'Mass attenuation coefficients'!$A$2)</f>
        <v>9.6579390000000001E-2</v>
      </c>
      <c r="I791" s="83">
        <f>_xlfn.IFNA(INDEX('Shultis Faw'!$C$2:$C$26,MATCH($C791,'Shultis Faw'!$A$2:$A$26,1))+($C791-INDEX('Shultis Faw'!$A$2:$A$26,MATCH($C791,'Shultis Faw'!$A$2:$A$26,1)))*(INDEX('Shultis Faw'!$C$2:$C$26,MATCH($C791,'Shultis Faw'!$A$2:$A$26,1)+1)-INDEX('Shultis Faw'!$C$2:$C$26,MATCH($C791,'Shultis Faw'!$A$2:$A$26,1)))/(INDEX('Shultis Faw'!$A$2:$A$26,MATCH($C791,'Shultis Faw'!$A$2:$A$26,1)+1)-INDEX('Shultis Faw'!$A$2:$A$26,MATCH($C791,'Shultis Faw'!$A$2:$A$26,1))),$C791*'Shultis Faw'!$C$2/'Shultis Faw'!$A$2)</f>
        <v>2.5</v>
      </c>
      <c r="J791" s="83">
        <f>_xlfn.IFNA(INDEX('Shultis Faw'!$D$2:$D$26,MATCH($C791,'Shultis Faw'!$A$2:$A$26,1))+($C791-INDEX('Shultis Faw'!$A$2:$A$26,MATCH($C791,'Shultis Faw'!$A$2:$A$26,1)))*(INDEX('Shultis Faw'!$D$2:$D$26,MATCH($C791,'Shultis Faw'!$A$2:$A$26,1)+1)-INDEX('Shultis Faw'!$D$2:$D$26,MATCH($C791,'Shultis Faw'!$A$2:$A$26,1)))/(INDEX('Shultis Faw'!$A$2:$A$26,MATCH($C791,'Shultis Faw'!$A$2:$A$26,1)+1)-INDEX('Shultis Faw'!$A$2:$A$26,MATCH($C791,'Shultis Faw'!$A$2:$A$26,1))),$C791*'Shultis Faw'!$D$2/'Shultis Faw'!$A$2)</f>
        <v>1.766</v>
      </c>
      <c r="K791" s="83">
        <f>_xlfn.IFNA(INDEX('Shultis Faw'!$B$2:$B$26,MATCH($C791,'Shultis Faw'!$A$2:$A$26,1))+($C791-INDEX('Shultis Faw'!$A$2:$A$26,MATCH($C791,'Shultis Faw'!$A$2:$A$26,1)))*(INDEX('Shultis Faw'!$B$2:$B$26,MATCH($C791,'Shultis Faw'!$A$2:$A$26,1)+1)-INDEX('Shultis Faw'!$B$2:$B$26,MATCH($C791,'Shultis Faw'!$A$2:$A$26,1)))/(INDEX('Shultis Faw'!$A$2:$A$26,MATCH($C791,'Shultis Faw'!$A$2:$A$26,1)+1)-INDEX('Shultis Faw'!$A$2:$A$26,MATCH($C791,'Shultis Faw'!$A$2:$A$26,1))),$C791*'Shultis Faw'!$B$2/'Shultis Faw'!$A$2)</f>
        <v>-0.13500000000000001</v>
      </c>
      <c r="L791" s="83">
        <f>_xlfn.IFNA(INDEX('Shultis Faw'!$E$2:$E$26,MATCH($C791,'Shultis Faw'!$A$2:$A$26,1))+($C791-INDEX('Shultis Faw'!$A$2:$A$26,MATCH($C791,'Shultis Faw'!$A$2:$A$26,1)))*(INDEX('Shultis Faw'!$E$2:$E$26,MATCH($C791,'Shultis Faw'!$A$2:$A$26,1)+1)-INDEX('Shultis Faw'!$E$2:$E$26,MATCH($C791,'Shultis Faw'!$A$2:$A$26,1)))/(INDEX('Shultis Faw'!$A$2:$A$26,MATCH($C791,'Shultis Faw'!$A$2:$A$26,1)+1)-INDEX('Shultis Faw'!$A$2:$A$26,MATCH($C791,'Shultis Faw'!$A$2:$A$26,1))),$C791*'Shultis Faw'!$E$2/'Shultis Faw'!$A$2)</f>
        <v>5.4600000000000003E-2</v>
      </c>
      <c r="M791" s="83">
        <f>_xlfn.IFNA(INDEX('Shultis Faw'!$F$2:$F$26,MATCH($C791,'Shultis Faw'!$A$2:$A$26,1))+($C791-INDEX('Shultis Faw'!$A$2:$A$26,MATCH($C791,'Shultis Faw'!$A$2:$A$26,1)))*(INDEX('Shultis Faw'!$F$2:$F$26,MATCH($C791,'Shultis Faw'!$A$2:$A$26,1)+1)-INDEX('Shultis Faw'!$F$2:$F$26,MATCH($C791,'Shultis Faw'!$A$2:$A$26,1)))/(INDEX('Shultis Faw'!$A$2:$A$26,MATCH($C791,'Shultis Faw'!$A$2:$A$26,1)+1)-INDEX('Shultis Faw'!$A$2:$A$26,MATCH($C791,'Shultis Faw'!$A$2:$A$26,1))),$C791*'Shultis Faw'!$F$2/'Shultis Faw'!$A$2)</f>
        <v>14.33</v>
      </c>
      <c r="N791" s="83">
        <f>J791*(H791*'Externe blootstelling'!$D$23/2)^K791+L791*(TANH(((H791*'Externe blootstelling'!$D$23)/(2*M791))-2)-TANH(-2))/(1-TANH(-2))</f>
        <v>1.6800245912332954</v>
      </c>
      <c r="O791" s="83">
        <f>IF(N791=1,1+(I791-1)*H791*'Externe blootstelling'!$D$23/2,1+(I791-1)*(N791^(H791*'Externe blootstelling'!$D$23/2)-1)/(N791-1))</f>
        <v>3.4713263824653922</v>
      </c>
      <c r="P791" s="67">
        <f>G791*EXP(-H791*'Externe blootstelling'!$D$23/2)*O791</f>
        <v>2.8194344098999089E-5</v>
      </c>
      <c r="Q791" s="68"/>
    </row>
    <row r="792" spans="1:17" x14ac:dyDescent="0.2">
      <c r="A792" s="220"/>
      <c r="B792" s="64" t="s">
        <v>104</v>
      </c>
      <c r="C792" s="66">
        <v>0.51</v>
      </c>
      <c r="D792" s="66">
        <f t="shared" si="49"/>
        <v>8.1600000000000001E-14</v>
      </c>
      <c r="E792" s="66">
        <v>3.9999999999999998E-6</v>
      </c>
      <c r="F792" s="66">
        <f>_xlfn.IFNA(INDEX('hp (pSv cm2)'!$B$2:$B$52,MATCH($C792,'hp (pSv cm2)'!$A$2:$A$52,1))+($C792-INDEX('hp (pSv cm2)'!$A$2:$A$52,MATCH($C792,'hp (pSv cm2)'!$A$2:$A$52,1)))*(INDEX('hp (pSv cm2)'!$B$2:$B$52,MATCH($C792,'hp (pSv cm2)'!$A$2:$A$52,1)+1)-INDEX('hp (pSv cm2)'!$B$2:$B$52,MATCH($C792,'hp (pSv cm2)'!$A$2:$A$52,1)))/(INDEX('hp (pSv cm2)'!$A$2:$A$52,MATCH($C792,'hp (pSv cm2)'!$A$2:$A$52,1)+1)-INDEX('hp (pSv cm2)'!$A$2:$A$52,MATCH($C792,'hp (pSv cm2)'!$A$2:$A$52,1))),$C792*'hp (pSv cm2)'!$B$2/'hp (pSv cm2)'!$A$2)</f>
        <v>2.5140000000000002</v>
      </c>
      <c r="G792" s="67">
        <f t="shared" si="51"/>
        <v>1.0056E-5</v>
      </c>
      <c r="H792" s="83">
        <f>_xlfn.IFNA(0.997*(INDEX('Mass attenuation coefficients'!$B$2:$B$37,MATCH($C792,'Mass attenuation coefficients'!$A$2:$A$37,1))+($C792-INDEX('Mass attenuation coefficients'!$A$2:$A$37,MATCH($C792,'Mass attenuation coefficients'!$A$2:$A$37,1)))*(INDEX('Mass attenuation coefficients'!$B$2:$B$37,MATCH($C792,'Mass attenuation coefficients'!$A$2:$A$37,1)+1)-INDEX('Mass attenuation coefficients'!$B$2:$B$37,MATCH($C792,'Mass attenuation coefficients'!$A$2:$A$37,1)))/(INDEX('Mass attenuation coefficients'!$A$2:$A$37,MATCH($C792,'Mass attenuation coefficients'!$A$2:$A$37,1)+1)-INDEX('Mass attenuation coefficients'!$A$2:$A$37,MATCH($C792,'Mass attenuation coefficients'!$A$2:$A$37,1)))),0.997*$C792*'Mass attenuation coefficients'!$B$2/'Mass attenuation coefficients'!$A$2)</f>
        <v>9.5850583000000003E-2</v>
      </c>
      <c r="I792" s="83">
        <f>_xlfn.IFNA(INDEX('Shultis Faw'!$C$2:$C$26,MATCH($C792,'Shultis Faw'!$A$2:$A$26,1))+($C792-INDEX('Shultis Faw'!$A$2:$A$26,MATCH($C792,'Shultis Faw'!$A$2:$A$26,1)))*(INDEX('Shultis Faw'!$C$2:$C$26,MATCH($C792,'Shultis Faw'!$A$2:$A$26,1)+1)-INDEX('Shultis Faw'!$C$2:$C$26,MATCH($C792,'Shultis Faw'!$A$2:$A$26,1)))/(INDEX('Shultis Faw'!$A$2:$A$26,MATCH($C792,'Shultis Faw'!$A$2:$A$26,1)+1)-INDEX('Shultis Faw'!$A$2:$A$26,MATCH($C792,'Shultis Faw'!$A$2:$A$26,1))),$C792*'Shultis Faw'!$C$2/'Shultis Faw'!$A$2)</f>
        <v>2.4876999999999998</v>
      </c>
      <c r="J792" s="83">
        <f>_xlfn.IFNA(INDEX('Shultis Faw'!$D$2:$D$26,MATCH($C792,'Shultis Faw'!$A$2:$A$26,1))+($C792-INDEX('Shultis Faw'!$A$2:$A$26,MATCH($C792,'Shultis Faw'!$A$2:$A$26,1)))*(INDEX('Shultis Faw'!$D$2:$D$26,MATCH($C792,'Shultis Faw'!$A$2:$A$26,1)+1)-INDEX('Shultis Faw'!$D$2:$D$26,MATCH($C792,'Shultis Faw'!$A$2:$A$26,1)))/(INDEX('Shultis Faw'!$A$2:$A$26,MATCH($C792,'Shultis Faw'!$A$2:$A$26,1)+1)-INDEX('Shultis Faw'!$A$2:$A$26,MATCH($C792,'Shultis Faw'!$A$2:$A$26,1))),$C792*'Shultis Faw'!$D$2/'Shultis Faw'!$A$2)</f>
        <v>1.7573000000000001</v>
      </c>
      <c r="K792" s="83">
        <f>_xlfn.IFNA(INDEX('Shultis Faw'!$B$2:$B$26,MATCH($C792,'Shultis Faw'!$A$2:$A$26,1))+($C792-INDEX('Shultis Faw'!$A$2:$A$26,MATCH($C792,'Shultis Faw'!$A$2:$A$26,1)))*(INDEX('Shultis Faw'!$B$2:$B$26,MATCH($C792,'Shultis Faw'!$A$2:$A$26,1)+1)-INDEX('Shultis Faw'!$B$2:$B$26,MATCH($C792,'Shultis Faw'!$A$2:$A$26,1)))/(INDEX('Shultis Faw'!$A$2:$A$26,MATCH($C792,'Shultis Faw'!$A$2:$A$26,1)+1)-INDEX('Shultis Faw'!$A$2:$A$26,MATCH($C792,'Shultis Faw'!$A$2:$A$26,1))),$C792*'Shultis Faw'!$B$2/'Shultis Faw'!$A$2)</f>
        <v>-0.13390000000000002</v>
      </c>
      <c r="L792" s="83">
        <f>_xlfn.IFNA(INDEX('Shultis Faw'!$E$2:$E$26,MATCH($C792,'Shultis Faw'!$A$2:$A$26,1))+($C792-INDEX('Shultis Faw'!$A$2:$A$26,MATCH($C792,'Shultis Faw'!$A$2:$A$26,1)))*(INDEX('Shultis Faw'!$E$2:$E$26,MATCH($C792,'Shultis Faw'!$A$2:$A$26,1)+1)-INDEX('Shultis Faw'!$E$2:$E$26,MATCH($C792,'Shultis Faw'!$A$2:$A$26,1)))/(INDEX('Shultis Faw'!$A$2:$A$26,MATCH($C792,'Shultis Faw'!$A$2:$A$26,1)+1)-INDEX('Shultis Faw'!$A$2:$A$26,MATCH($C792,'Shultis Faw'!$A$2:$A$26,1))),$C792*'Shultis Faw'!$E$2/'Shultis Faw'!$A$2)</f>
        <v>5.4170000000000003E-2</v>
      </c>
      <c r="M792" s="83">
        <f>_xlfn.IFNA(INDEX('Shultis Faw'!$F$2:$F$26,MATCH($C792,'Shultis Faw'!$A$2:$A$26,1))+($C792-INDEX('Shultis Faw'!$A$2:$A$26,MATCH($C792,'Shultis Faw'!$A$2:$A$26,1)))*(INDEX('Shultis Faw'!$F$2:$F$26,MATCH($C792,'Shultis Faw'!$A$2:$A$26,1)+1)-INDEX('Shultis Faw'!$F$2:$F$26,MATCH($C792,'Shultis Faw'!$A$2:$A$26,1)))/(INDEX('Shultis Faw'!$A$2:$A$26,MATCH($C792,'Shultis Faw'!$A$2:$A$26,1)+1)-INDEX('Shultis Faw'!$A$2:$A$26,MATCH($C792,'Shultis Faw'!$A$2:$A$26,1))),$C792*'Shultis Faw'!$F$2/'Shultis Faw'!$A$2)</f>
        <v>14.32</v>
      </c>
      <c r="N792" s="83">
        <f>J792*(H792*'Externe blootstelling'!$D$23/2)^K792+L792*(TANH(((H792*'Externe blootstelling'!$D$23)/(2*M792))-2)-TANH(-2))/(1-TANH(-2))</f>
        <v>1.6741244507878512</v>
      </c>
      <c r="O792" s="83">
        <f>IF(N792=1,1+(I792-1)*H792*'Externe blootstelling'!$D$23/2,1+(I792-1)*(N792^(H792*'Externe blootstelling'!$D$23/2)-1)/(N792-1))</f>
        <v>3.4225732253435317</v>
      </c>
      <c r="P792" s="67">
        <f>G792*EXP(-H792*'Externe blootstelling'!$D$23/2)*O792</f>
        <v>8.1727332456827627E-6</v>
      </c>
      <c r="Q792" s="68"/>
    </row>
    <row r="793" spans="1:17" x14ac:dyDescent="0.2">
      <c r="A793" s="220"/>
      <c r="B793" s="64" t="s">
        <v>104</v>
      </c>
      <c r="C793" s="66">
        <v>0.5232</v>
      </c>
      <c r="D793" s="66">
        <f t="shared" ref="D793:D815" si="52">C793*1000000*1.6E-19</f>
        <v>8.3711999999999997E-14</v>
      </c>
      <c r="E793" s="66">
        <v>1.4E-5</v>
      </c>
      <c r="F793" s="66">
        <f>_xlfn.IFNA(INDEX('hp (pSv cm2)'!$B$2:$B$52,MATCH($C793,'hp (pSv cm2)'!$A$2:$A$52,1))+($C793-INDEX('hp (pSv cm2)'!$A$2:$A$52,MATCH($C793,'hp (pSv cm2)'!$A$2:$A$52,1)))*(INDEX('hp (pSv cm2)'!$B$2:$B$52,MATCH($C793,'hp (pSv cm2)'!$A$2:$A$52,1)+1)-INDEX('hp (pSv cm2)'!$B$2:$B$52,MATCH($C793,'hp (pSv cm2)'!$A$2:$A$52,1)))/(INDEX('hp (pSv cm2)'!$A$2:$A$52,MATCH($C793,'hp (pSv cm2)'!$A$2:$A$52,1)+1)-INDEX('hp (pSv cm2)'!$A$2:$A$52,MATCH($C793,'hp (pSv cm2)'!$A$2:$A$52,1))),$C793*'hp (pSv cm2)'!$B$2/'hp (pSv cm2)'!$A$2)</f>
        <v>2.5720800000000001</v>
      </c>
      <c r="G793" s="67">
        <f t="shared" ref="G793:G815" si="53">F793*E793</f>
        <v>3.6009120000000002E-5</v>
      </c>
      <c r="H793" s="83">
        <f>_xlfn.IFNA(0.997*(INDEX('Mass attenuation coefficients'!$B$2:$B$37,MATCH($C793,'Mass attenuation coefficients'!$A$2:$A$37,1))+($C793-INDEX('Mass attenuation coefficients'!$A$2:$A$37,MATCH($C793,'Mass attenuation coefficients'!$A$2:$A$37,1)))*(INDEX('Mass attenuation coefficients'!$B$2:$B$37,MATCH($C793,'Mass attenuation coefficients'!$A$2:$A$37,1)+1)-INDEX('Mass attenuation coefficients'!$B$2:$B$37,MATCH($C793,'Mass attenuation coefficients'!$A$2:$A$37,1)))/(INDEX('Mass attenuation coefficients'!$A$2:$A$37,MATCH($C793,'Mass attenuation coefficients'!$A$2:$A$37,1)+1)-INDEX('Mass attenuation coefficients'!$A$2:$A$37,MATCH($C793,'Mass attenuation coefficients'!$A$2:$A$37,1)))),0.997*$C793*'Mass attenuation coefficients'!$B$2/'Mass attenuation coefficients'!$A$2)</f>
        <v>9.4888557759999992E-2</v>
      </c>
      <c r="I793" s="83">
        <f>_xlfn.IFNA(INDEX('Shultis Faw'!$C$2:$C$26,MATCH($C793,'Shultis Faw'!$A$2:$A$26,1))+($C793-INDEX('Shultis Faw'!$A$2:$A$26,MATCH($C793,'Shultis Faw'!$A$2:$A$26,1)))*(INDEX('Shultis Faw'!$C$2:$C$26,MATCH($C793,'Shultis Faw'!$A$2:$A$26,1)+1)-INDEX('Shultis Faw'!$C$2:$C$26,MATCH($C793,'Shultis Faw'!$A$2:$A$26,1)))/(INDEX('Shultis Faw'!$A$2:$A$26,MATCH($C793,'Shultis Faw'!$A$2:$A$26,1)+1)-INDEX('Shultis Faw'!$A$2:$A$26,MATCH($C793,'Shultis Faw'!$A$2:$A$26,1))),$C793*'Shultis Faw'!$C$2/'Shultis Faw'!$A$2)</f>
        <v>2.4714640000000001</v>
      </c>
      <c r="J793" s="83">
        <f>_xlfn.IFNA(INDEX('Shultis Faw'!$D$2:$D$26,MATCH($C793,'Shultis Faw'!$A$2:$A$26,1))+($C793-INDEX('Shultis Faw'!$A$2:$A$26,MATCH($C793,'Shultis Faw'!$A$2:$A$26,1)))*(INDEX('Shultis Faw'!$D$2:$D$26,MATCH($C793,'Shultis Faw'!$A$2:$A$26,1)+1)-INDEX('Shultis Faw'!$D$2:$D$26,MATCH($C793,'Shultis Faw'!$A$2:$A$26,1)))/(INDEX('Shultis Faw'!$A$2:$A$26,MATCH($C793,'Shultis Faw'!$A$2:$A$26,1)+1)-INDEX('Shultis Faw'!$A$2:$A$26,MATCH($C793,'Shultis Faw'!$A$2:$A$26,1))),$C793*'Shultis Faw'!$D$2/'Shultis Faw'!$A$2)</f>
        <v>1.745816</v>
      </c>
      <c r="K793" s="83">
        <f>_xlfn.IFNA(INDEX('Shultis Faw'!$B$2:$B$26,MATCH($C793,'Shultis Faw'!$A$2:$A$26,1))+($C793-INDEX('Shultis Faw'!$A$2:$A$26,MATCH($C793,'Shultis Faw'!$A$2:$A$26,1)))*(INDEX('Shultis Faw'!$B$2:$B$26,MATCH($C793,'Shultis Faw'!$A$2:$A$26,1)+1)-INDEX('Shultis Faw'!$B$2:$B$26,MATCH($C793,'Shultis Faw'!$A$2:$A$26,1)))/(INDEX('Shultis Faw'!$A$2:$A$26,MATCH($C793,'Shultis Faw'!$A$2:$A$26,1)+1)-INDEX('Shultis Faw'!$A$2:$A$26,MATCH($C793,'Shultis Faw'!$A$2:$A$26,1))),$C793*'Shultis Faw'!$B$2/'Shultis Faw'!$A$2)</f>
        <v>-0.13244800000000001</v>
      </c>
      <c r="L793" s="83">
        <f>_xlfn.IFNA(INDEX('Shultis Faw'!$E$2:$E$26,MATCH($C793,'Shultis Faw'!$A$2:$A$26,1))+($C793-INDEX('Shultis Faw'!$A$2:$A$26,MATCH($C793,'Shultis Faw'!$A$2:$A$26,1)))*(INDEX('Shultis Faw'!$E$2:$E$26,MATCH($C793,'Shultis Faw'!$A$2:$A$26,1)+1)-INDEX('Shultis Faw'!$E$2:$E$26,MATCH($C793,'Shultis Faw'!$A$2:$A$26,1)))/(INDEX('Shultis Faw'!$A$2:$A$26,MATCH($C793,'Shultis Faw'!$A$2:$A$26,1)+1)-INDEX('Shultis Faw'!$A$2:$A$26,MATCH($C793,'Shultis Faw'!$A$2:$A$26,1))),$C793*'Shultis Faw'!$E$2/'Shultis Faw'!$A$2)</f>
        <v>5.3602400000000001E-2</v>
      </c>
      <c r="M793" s="83">
        <f>_xlfn.IFNA(INDEX('Shultis Faw'!$F$2:$F$26,MATCH($C793,'Shultis Faw'!$A$2:$A$26,1))+($C793-INDEX('Shultis Faw'!$A$2:$A$26,MATCH($C793,'Shultis Faw'!$A$2:$A$26,1)))*(INDEX('Shultis Faw'!$F$2:$F$26,MATCH($C793,'Shultis Faw'!$A$2:$A$26,1)+1)-INDEX('Shultis Faw'!$F$2:$F$26,MATCH($C793,'Shultis Faw'!$A$2:$A$26,1)))/(INDEX('Shultis Faw'!$A$2:$A$26,MATCH($C793,'Shultis Faw'!$A$2:$A$26,1)+1)-INDEX('Shultis Faw'!$A$2:$A$26,MATCH($C793,'Shultis Faw'!$A$2:$A$26,1))),$C793*'Shultis Faw'!$F$2/'Shultis Faw'!$A$2)</f>
        <v>14.306800000000001</v>
      </c>
      <c r="N793" s="83">
        <f>J793*(H793*'Externe blootstelling'!$D$23/2)^K793+L793*(TANH(((H793*'Externe blootstelling'!$D$23)/(2*M793))-2)-TANH(-2))/(1-TANH(-2))</f>
        <v>1.6662824463782815</v>
      </c>
      <c r="O793" s="83">
        <f>IF(N793=1,1+(I793-1)*H793*'Externe blootstelling'!$D$23/2,1+(I793-1)*(N793^(H793*'Externe blootstelling'!$D$23/2)-1)/(N793-1))</f>
        <v>3.3593868259239015</v>
      </c>
      <c r="P793" s="67">
        <f>G793*EXP(-H793*'Externe blootstelling'!$D$23/2)*O793</f>
        <v>2.9142638384391461E-5</v>
      </c>
      <c r="Q793" s="68"/>
    </row>
    <row r="794" spans="1:17" x14ac:dyDescent="0.2">
      <c r="A794" s="220"/>
      <c r="B794" s="64" t="s">
        <v>104</v>
      </c>
      <c r="C794" s="66">
        <v>0.52761099999999994</v>
      </c>
      <c r="D794" s="66">
        <f t="shared" si="52"/>
        <v>8.4417759999999982E-14</v>
      </c>
      <c r="E794" s="66">
        <v>7.2999999999999996E-4</v>
      </c>
      <c r="F794" s="66">
        <f>_xlfn.IFNA(INDEX('hp (pSv cm2)'!$B$2:$B$52,MATCH($C794,'hp (pSv cm2)'!$A$2:$A$52,1))+($C794-INDEX('hp (pSv cm2)'!$A$2:$A$52,MATCH($C794,'hp (pSv cm2)'!$A$2:$A$52,1)))*(INDEX('hp (pSv cm2)'!$B$2:$B$52,MATCH($C794,'hp (pSv cm2)'!$A$2:$A$52,1)+1)-INDEX('hp (pSv cm2)'!$B$2:$B$52,MATCH($C794,'hp (pSv cm2)'!$A$2:$A$52,1)))/(INDEX('hp (pSv cm2)'!$A$2:$A$52,MATCH($C794,'hp (pSv cm2)'!$A$2:$A$52,1)+1)-INDEX('hp (pSv cm2)'!$A$2:$A$52,MATCH($C794,'hp (pSv cm2)'!$A$2:$A$52,1))),$C794*'hp (pSv cm2)'!$B$2/'hp (pSv cm2)'!$A$2)</f>
        <v>2.5914883999999998</v>
      </c>
      <c r="G794" s="67">
        <f t="shared" si="53"/>
        <v>1.8917865319999997E-3</v>
      </c>
      <c r="H794" s="83">
        <f>_xlfn.IFNA(0.997*(INDEX('Mass attenuation coefficients'!$B$2:$B$37,MATCH($C794,'Mass attenuation coefficients'!$A$2:$A$37,1))+($C794-INDEX('Mass attenuation coefficients'!$A$2:$A$37,MATCH($C794,'Mass attenuation coefficients'!$A$2:$A$37,1)))*(INDEX('Mass attenuation coefficients'!$B$2:$B$37,MATCH($C794,'Mass attenuation coefficients'!$A$2:$A$37,1)+1)-INDEX('Mass attenuation coefficients'!$B$2:$B$37,MATCH($C794,'Mass attenuation coefficients'!$A$2:$A$37,1)))/(INDEX('Mass attenuation coefficients'!$A$2:$A$37,MATCH($C794,'Mass attenuation coefficients'!$A$2:$A$37,1)+1)-INDEX('Mass attenuation coefficients'!$A$2:$A$37,MATCH($C794,'Mass attenuation coefficients'!$A$2:$A$37,1)))),0.997*$C794*'Mass attenuation coefficients'!$B$2/'Mass attenuation coefficients'!$A$2)</f>
        <v>9.4567080992300004E-2</v>
      </c>
      <c r="I794" s="83">
        <f>_xlfn.IFNA(INDEX('Shultis Faw'!$C$2:$C$26,MATCH($C794,'Shultis Faw'!$A$2:$A$26,1))+($C794-INDEX('Shultis Faw'!$A$2:$A$26,MATCH($C794,'Shultis Faw'!$A$2:$A$26,1)))*(INDEX('Shultis Faw'!$C$2:$C$26,MATCH($C794,'Shultis Faw'!$A$2:$A$26,1)+1)-INDEX('Shultis Faw'!$C$2:$C$26,MATCH($C794,'Shultis Faw'!$A$2:$A$26,1)))/(INDEX('Shultis Faw'!$A$2:$A$26,MATCH($C794,'Shultis Faw'!$A$2:$A$26,1)+1)-INDEX('Shultis Faw'!$A$2:$A$26,MATCH($C794,'Shultis Faw'!$A$2:$A$26,1))),$C794*'Shultis Faw'!$C$2/'Shultis Faw'!$A$2)</f>
        <v>2.46603847</v>
      </c>
      <c r="J794" s="83">
        <f>_xlfn.IFNA(INDEX('Shultis Faw'!$D$2:$D$26,MATCH($C794,'Shultis Faw'!$A$2:$A$26,1))+($C794-INDEX('Shultis Faw'!$A$2:$A$26,MATCH($C794,'Shultis Faw'!$A$2:$A$26,1)))*(INDEX('Shultis Faw'!$D$2:$D$26,MATCH($C794,'Shultis Faw'!$A$2:$A$26,1)+1)-INDEX('Shultis Faw'!$D$2:$D$26,MATCH($C794,'Shultis Faw'!$A$2:$A$26,1)))/(INDEX('Shultis Faw'!$A$2:$A$26,MATCH($C794,'Shultis Faw'!$A$2:$A$26,1)+1)-INDEX('Shultis Faw'!$A$2:$A$26,MATCH($C794,'Shultis Faw'!$A$2:$A$26,1))),$C794*'Shultis Faw'!$D$2/'Shultis Faw'!$A$2)</f>
        <v>1.7419784300000001</v>
      </c>
      <c r="K794" s="83">
        <f>_xlfn.IFNA(INDEX('Shultis Faw'!$B$2:$B$26,MATCH($C794,'Shultis Faw'!$A$2:$A$26,1))+($C794-INDEX('Shultis Faw'!$A$2:$A$26,MATCH($C794,'Shultis Faw'!$A$2:$A$26,1)))*(INDEX('Shultis Faw'!$B$2:$B$26,MATCH($C794,'Shultis Faw'!$A$2:$A$26,1)+1)-INDEX('Shultis Faw'!$B$2:$B$26,MATCH($C794,'Shultis Faw'!$A$2:$A$26,1)))/(INDEX('Shultis Faw'!$A$2:$A$26,MATCH($C794,'Shultis Faw'!$A$2:$A$26,1)+1)-INDEX('Shultis Faw'!$A$2:$A$26,MATCH($C794,'Shultis Faw'!$A$2:$A$26,1))),$C794*'Shultis Faw'!$B$2/'Shultis Faw'!$A$2)</f>
        <v>-0.13196279000000002</v>
      </c>
      <c r="L794" s="83">
        <f>_xlfn.IFNA(INDEX('Shultis Faw'!$E$2:$E$26,MATCH($C794,'Shultis Faw'!$A$2:$A$26,1))+($C794-INDEX('Shultis Faw'!$A$2:$A$26,MATCH($C794,'Shultis Faw'!$A$2:$A$26,1)))*(INDEX('Shultis Faw'!$E$2:$E$26,MATCH($C794,'Shultis Faw'!$A$2:$A$26,1)+1)-INDEX('Shultis Faw'!$E$2:$E$26,MATCH($C794,'Shultis Faw'!$A$2:$A$26,1)))/(INDEX('Shultis Faw'!$A$2:$A$26,MATCH($C794,'Shultis Faw'!$A$2:$A$26,1)+1)-INDEX('Shultis Faw'!$A$2:$A$26,MATCH($C794,'Shultis Faw'!$A$2:$A$26,1))),$C794*'Shultis Faw'!$E$2/'Shultis Faw'!$A$2)</f>
        <v>5.3412727000000007E-2</v>
      </c>
      <c r="M794" s="83">
        <f>_xlfn.IFNA(INDEX('Shultis Faw'!$F$2:$F$26,MATCH($C794,'Shultis Faw'!$A$2:$A$26,1))+($C794-INDEX('Shultis Faw'!$A$2:$A$26,MATCH($C794,'Shultis Faw'!$A$2:$A$26,1)))*(INDEX('Shultis Faw'!$F$2:$F$26,MATCH($C794,'Shultis Faw'!$A$2:$A$26,1)+1)-INDEX('Shultis Faw'!$F$2:$F$26,MATCH($C794,'Shultis Faw'!$A$2:$A$26,1)))/(INDEX('Shultis Faw'!$A$2:$A$26,MATCH($C794,'Shultis Faw'!$A$2:$A$26,1)+1)-INDEX('Shultis Faw'!$A$2:$A$26,MATCH($C794,'Shultis Faw'!$A$2:$A$26,1))),$C794*'Shultis Faw'!$F$2/'Shultis Faw'!$A$2)</f>
        <v>14.302389</v>
      </c>
      <c r="N794" s="83">
        <f>J794*(H794*'Externe blootstelling'!$D$23/2)^K794+L794*(TANH(((H794*'Externe blootstelling'!$D$23)/(2*M794))-2)-TANH(-2))/(1-TANH(-2))</f>
        <v>1.6636482552885379</v>
      </c>
      <c r="O794" s="83">
        <f>IF(N794=1,1+(I794-1)*H794*'Externe blootstelling'!$D$23/2,1+(I794-1)*(N794^(H794*'Externe blootstelling'!$D$23/2)-1)/(N794-1))</f>
        <v>3.3385643534790779</v>
      </c>
      <c r="P794" s="67">
        <f>G794*EXP(-H794*'Externe blootstelling'!$D$23/2)*O794</f>
        <v>1.5289118955801706E-3</v>
      </c>
      <c r="Q794" s="68"/>
    </row>
    <row r="795" spans="1:17" x14ac:dyDescent="0.2">
      <c r="A795" s="220"/>
      <c r="B795" s="64" t="s">
        <v>104</v>
      </c>
      <c r="C795" s="66">
        <v>0.53289999999999993</v>
      </c>
      <c r="D795" s="66">
        <f t="shared" si="52"/>
        <v>8.5263999999999981E-14</v>
      </c>
      <c r="E795" s="66">
        <v>1.4E-5</v>
      </c>
      <c r="F795" s="66">
        <f>_xlfn.IFNA(INDEX('hp (pSv cm2)'!$B$2:$B$52,MATCH($C795,'hp (pSv cm2)'!$A$2:$A$52,1))+($C795-INDEX('hp (pSv cm2)'!$A$2:$A$52,MATCH($C795,'hp (pSv cm2)'!$A$2:$A$52,1)))*(INDEX('hp (pSv cm2)'!$B$2:$B$52,MATCH($C795,'hp (pSv cm2)'!$A$2:$A$52,1)+1)-INDEX('hp (pSv cm2)'!$B$2:$B$52,MATCH($C795,'hp (pSv cm2)'!$A$2:$A$52,1)))/(INDEX('hp (pSv cm2)'!$A$2:$A$52,MATCH($C795,'hp (pSv cm2)'!$A$2:$A$52,1)+1)-INDEX('hp (pSv cm2)'!$A$2:$A$52,MATCH($C795,'hp (pSv cm2)'!$A$2:$A$52,1))),$C795*'hp (pSv cm2)'!$B$2/'hp (pSv cm2)'!$A$2)</f>
        <v>2.61476</v>
      </c>
      <c r="G795" s="67">
        <f t="shared" si="53"/>
        <v>3.6606639999999999E-5</v>
      </c>
      <c r="H795" s="83">
        <f>_xlfn.IFNA(0.997*(INDEX('Mass attenuation coefficients'!$B$2:$B$37,MATCH($C795,'Mass attenuation coefficients'!$A$2:$A$37,1))+($C795-INDEX('Mass attenuation coefficients'!$A$2:$A$37,MATCH($C795,'Mass attenuation coefficients'!$A$2:$A$37,1)))*(INDEX('Mass attenuation coefficients'!$B$2:$B$37,MATCH($C795,'Mass attenuation coefficients'!$A$2:$A$37,1)+1)-INDEX('Mass attenuation coefficients'!$B$2:$B$37,MATCH($C795,'Mass attenuation coefficients'!$A$2:$A$37,1)))/(INDEX('Mass attenuation coefficients'!$A$2:$A$37,MATCH($C795,'Mass attenuation coefficients'!$A$2:$A$37,1)+1)-INDEX('Mass attenuation coefficients'!$A$2:$A$37,MATCH($C795,'Mass attenuation coefficients'!$A$2:$A$37,1)))),0.997*$C795*'Mass attenuation coefficients'!$B$2/'Mass attenuation coefficients'!$A$2)</f>
        <v>9.4181614970000008E-2</v>
      </c>
      <c r="I795" s="83">
        <f>_xlfn.IFNA(INDEX('Shultis Faw'!$C$2:$C$26,MATCH($C795,'Shultis Faw'!$A$2:$A$26,1))+($C795-INDEX('Shultis Faw'!$A$2:$A$26,MATCH($C795,'Shultis Faw'!$A$2:$A$26,1)))*(INDEX('Shultis Faw'!$C$2:$C$26,MATCH($C795,'Shultis Faw'!$A$2:$A$26,1)+1)-INDEX('Shultis Faw'!$C$2:$C$26,MATCH($C795,'Shultis Faw'!$A$2:$A$26,1)))/(INDEX('Shultis Faw'!$A$2:$A$26,MATCH($C795,'Shultis Faw'!$A$2:$A$26,1)+1)-INDEX('Shultis Faw'!$A$2:$A$26,MATCH($C795,'Shultis Faw'!$A$2:$A$26,1))),$C795*'Shultis Faw'!$C$2/'Shultis Faw'!$A$2)</f>
        <v>2.459533</v>
      </c>
      <c r="J795" s="83">
        <f>_xlfn.IFNA(INDEX('Shultis Faw'!$D$2:$D$26,MATCH($C795,'Shultis Faw'!$A$2:$A$26,1))+($C795-INDEX('Shultis Faw'!$A$2:$A$26,MATCH($C795,'Shultis Faw'!$A$2:$A$26,1)))*(INDEX('Shultis Faw'!$D$2:$D$26,MATCH($C795,'Shultis Faw'!$A$2:$A$26,1)+1)-INDEX('Shultis Faw'!$D$2:$D$26,MATCH($C795,'Shultis Faw'!$A$2:$A$26,1)))/(INDEX('Shultis Faw'!$A$2:$A$26,MATCH($C795,'Shultis Faw'!$A$2:$A$26,1)+1)-INDEX('Shultis Faw'!$A$2:$A$26,MATCH($C795,'Shultis Faw'!$A$2:$A$26,1))),$C795*'Shultis Faw'!$D$2/'Shultis Faw'!$A$2)</f>
        <v>1.7373770000000002</v>
      </c>
      <c r="K795" s="83">
        <f>_xlfn.IFNA(INDEX('Shultis Faw'!$B$2:$B$26,MATCH($C795,'Shultis Faw'!$A$2:$A$26,1))+($C795-INDEX('Shultis Faw'!$A$2:$A$26,MATCH($C795,'Shultis Faw'!$A$2:$A$26,1)))*(INDEX('Shultis Faw'!$B$2:$B$26,MATCH($C795,'Shultis Faw'!$A$2:$A$26,1)+1)-INDEX('Shultis Faw'!$B$2:$B$26,MATCH($C795,'Shultis Faw'!$A$2:$A$26,1)))/(INDEX('Shultis Faw'!$A$2:$A$26,MATCH($C795,'Shultis Faw'!$A$2:$A$26,1)+1)-INDEX('Shultis Faw'!$A$2:$A$26,MATCH($C795,'Shultis Faw'!$A$2:$A$26,1))),$C795*'Shultis Faw'!$B$2/'Shultis Faw'!$A$2)</f>
        <v>-0.13138100000000003</v>
      </c>
      <c r="L795" s="83">
        <f>_xlfn.IFNA(INDEX('Shultis Faw'!$E$2:$E$26,MATCH($C795,'Shultis Faw'!$A$2:$A$26,1))+($C795-INDEX('Shultis Faw'!$A$2:$A$26,MATCH($C795,'Shultis Faw'!$A$2:$A$26,1)))*(INDEX('Shultis Faw'!$E$2:$E$26,MATCH($C795,'Shultis Faw'!$A$2:$A$26,1)+1)-INDEX('Shultis Faw'!$E$2:$E$26,MATCH($C795,'Shultis Faw'!$A$2:$A$26,1)))/(INDEX('Shultis Faw'!$A$2:$A$26,MATCH($C795,'Shultis Faw'!$A$2:$A$26,1)+1)-INDEX('Shultis Faw'!$A$2:$A$26,MATCH($C795,'Shultis Faw'!$A$2:$A$26,1))),$C795*'Shultis Faw'!$E$2/'Shultis Faw'!$A$2)</f>
        <v>5.3185300000000005E-2</v>
      </c>
      <c r="M795" s="83">
        <f>_xlfn.IFNA(INDEX('Shultis Faw'!$F$2:$F$26,MATCH($C795,'Shultis Faw'!$A$2:$A$26,1))+($C795-INDEX('Shultis Faw'!$A$2:$A$26,MATCH($C795,'Shultis Faw'!$A$2:$A$26,1)))*(INDEX('Shultis Faw'!$F$2:$F$26,MATCH($C795,'Shultis Faw'!$A$2:$A$26,1)+1)-INDEX('Shultis Faw'!$F$2:$F$26,MATCH($C795,'Shultis Faw'!$A$2:$A$26,1)))/(INDEX('Shultis Faw'!$A$2:$A$26,MATCH($C795,'Shultis Faw'!$A$2:$A$26,1)+1)-INDEX('Shultis Faw'!$A$2:$A$26,MATCH($C795,'Shultis Faw'!$A$2:$A$26,1))),$C795*'Shultis Faw'!$F$2/'Shultis Faw'!$A$2)</f>
        <v>14.2971</v>
      </c>
      <c r="N795" s="83">
        <f>J795*(H795*'Externe blootstelling'!$D$23/2)^K795+L795*(TANH(((H795*'Externe blootstelling'!$D$23)/(2*M795))-2)-TANH(-2))/(1-TANH(-2))</f>
        <v>1.660480715031599</v>
      </c>
      <c r="O795" s="83">
        <f>IF(N795=1,1+(I795-1)*H795*'Externe blootstelling'!$D$23/2,1+(I795-1)*(N795^(H795*'Externe blootstelling'!$D$23/2)-1)/(N795-1))</f>
        <v>3.3137881510737461</v>
      </c>
      <c r="P795" s="67">
        <f>G795*EXP(-H795*'Externe blootstelling'!$D$23/2)*O795</f>
        <v>2.9535632378409784E-5</v>
      </c>
      <c r="Q795" s="68"/>
    </row>
    <row r="796" spans="1:17" x14ac:dyDescent="0.2">
      <c r="A796" s="220"/>
      <c r="B796" s="64" t="s">
        <v>104</v>
      </c>
      <c r="C796" s="66">
        <v>0.53760000000000008</v>
      </c>
      <c r="D796" s="66">
        <f t="shared" si="52"/>
        <v>8.6016000000000009E-14</v>
      </c>
      <c r="E796" s="66">
        <v>2.0999999999999999E-5</v>
      </c>
      <c r="F796" s="66">
        <f>_xlfn.IFNA(INDEX('hp (pSv cm2)'!$B$2:$B$52,MATCH($C796,'hp (pSv cm2)'!$A$2:$A$52,1))+($C796-INDEX('hp (pSv cm2)'!$A$2:$A$52,MATCH($C796,'hp (pSv cm2)'!$A$2:$A$52,1)))*(INDEX('hp (pSv cm2)'!$B$2:$B$52,MATCH($C796,'hp (pSv cm2)'!$A$2:$A$52,1)+1)-INDEX('hp (pSv cm2)'!$B$2:$B$52,MATCH($C796,'hp (pSv cm2)'!$A$2:$A$52,1)))/(INDEX('hp (pSv cm2)'!$A$2:$A$52,MATCH($C796,'hp (pSv cm2)'!$A$2:$A$52,1)+1)-INDEX('hp (pSv cm2)'!$A$2:$A$52,MATCH($C796,'hp (pSv cm2)'!$A$2:$A$52,1))),$C796*'hp (pSv cm2)'!$B$2/'hp (pSv cm2)'!$A$2)</f>
        <v>2.6354400000000004</v>
      </c>
      <c r="G796" s="67">
        <f t="shared" si="53"/>
        <v>5.5344240000000007E-5</v>
      </c>
      <c r="H796" s="83">
        <f>_xlfn.IFNA(0.997*(INDEX('Mass attenuation coefficients'!$B$2:$B$37,MATCH($C796,'Mass attenuation coefficients'!$A$2:$A$37,1))+($C796-INDEX('Mass attenuation coefficients'!$A$2:$A$37,MATCH($C796,'Mass attenuation coefficients'!$A$2:$A$37,1)))*(INDEX('Mass attenuation coefficients'!$B$2:$B$37,MATCH($C796,'Mass attenuation coefficients'!$A$2:$A$37,1)+1)-INDEX('Mass attenuation coefficients'!$B$2:$B$37,MATCH($C796,'Mass attenuation coefficients'!$A$2:$A$37,1)))/(INDEX('Mass attenuation coefficients'!$A$2:$A$37,MATCH($C796,'Mass attenuation coefficients'!$A$2:$A$37,1)+1)-INDEX('Mass attenuation coefficients'!$A$2:$A$37,MATCH($C796,'Mass attenuation coefficients'!$A$2:$A$37,1)))),0.997*$C796*'Mass attenuation coefficients'!$B$2/'Mass attenuation coefficients'!$A$2)</f>
        <v>9.3839075679999981E-2</v>
      </c>
      <c r="I796" s="83">
        <f>_xlfn.IFNA(INDEX('Shultis Faw'!$C$2:$C$26,MATCH($C796,'Shultis Faw'!$A$2:$A$26,1))+($C796-INDEX('Shultis Faw'!$A$2:$A$26,MATCH($C796,'Shultis Faw'!$A$2:$A$26,1)))*(INDEX('Shultis Faw'!$C$2:$C$26,MATCH($C796,'Shultis Faw'!$A$2:$A$26,1)+1)-INDEX('Shultis Faw'!$C$2:$C$26,MATCH($C796,'Shultis Faw'!$A$2:$A$26,1)))/(INDEX('Shultis Faw'!$A$2:$A$26,MATCH($C796,'Shultis Faw'!$A$2:$A$26,1)+1)-INDEX('Shultis Faw'!$A$2:$A$26,MATCH($C796,'Shultis Faw'!$A$2:$A$26,1))),$C796*'Shultis Faw'!$C$2/'Shultis Faw'!$A$2)</f>
        <v>2.4537519999999997</v>
      </c>
      <c r="J796" s="83">
        <f>_xlfn.IFNA(INDEX('Shultis Faw'!$D$2:$D$26,MATCH($C796,'Shultis Faw'!$A$2:$A$26,1))+($C796-INDEX('Shultis Faw'!$A$2:$A$26,MATCH($C796,'Shultis Faw'!$A$2:$A$26,1)))*(INDEX('Shultis Faw'!$D$2:$D$26,MATCH($C796,'Shultis Faw'!$A$2:$A$26,1)+1)-INDEX('Shultis Faw'!$D$2:$D$26,MATCH($C796,'Shultis Faw'!$A$2:$A$26,1)))/(INDEX('Shultis Faw'!$A$2:$A$26,MATCH($C796,'Shultis Faw'!$A$2:$A$26,1)+1)-INDEX('Shultis Faw'!$A$2:$A$26,MATCH($C796,'Shultis Faw'!$A$2:$A$26,1))),$C796*'Shultis Faw'!$D$2/'Shultis Faw'!$A$2)</f>
        <v>1.7332879999999999</v>
      </c>
      <c r="K796" s="83">
        <f>_xlfn.IFNA(INDEX('Shultis Faw'!$B$2:$B$26,MATCH($C796,'Shultis Faw'!$A$2:$A$26,1))+($C796-INDEX('Shultis Faw'!$A$2:$A$26,MATCH($C796,'Shultis Faw'!$A$2:$A$26,1)))*(INDEX('Shultis Faw'!$B$2:$B$26,MATCH($C796,'Shultis Faw'!$A$2:$A$26,1)+1)-INDEX('Shultis Faw'!$B$2:$B$26,MATCH($C796,'Shultis Faw'!$A$2:$A$26,1)))/(INDEX('Shultis Faw'!$A$2:$A$26,MATCH($C796,'Shultis Faw'!$A$2:$A$26,1)+1)-INDEX('Shultis Faw'!$A$2:$A$26,MATCH($C796,'Shultis Faw'!$A$2:$A$26,1))),$C796*'Shultis Faw'!$B$2/'Shultis Faw'!$A$2)</f>
        <v>-0.13086400000000001</v>
      </c>
      <c r="L796" s="83">
        <f>_xlfn.IFNA(INDEX('Shultis Faw'!$E$2:$E$26,MATCH($C796,'Shultis Faw'!$A$2:$A$26,1))+($C796-INDEX('Shultis Faw'!$A$2:$A$26,MATCH($C796,'Shultis Faw'!$A$2:$A$26,1)))*(INDEX('Shultis Faw'!$E$2:$E$26,MATCH($C796,'Shultis Faw'!$A$2:$A$26,1)+1)-INDEX('Shultis Faw'!$E$2:$E$26,MATCH($C796,'Shultis Faw'!$A$2:$A$26,1)))/(INDEX('Shultis Faw'!$A$2:$A$26,MATCH($C796,'Shultis Faw'!$A$2:$A$26,1)+1)-INDEX('Shultis Faw'!$A$2:$A$26,MATCH($C796,'Shultis Faw'!$A$2:$A$26,1))),$C796*'Shultis Faw'!$E$2/'Shultis Faw'!$A$2)</f>
        <v>5.2983199999999994E-2</v>
      </c>
      <c r="M796" s="83">
        <f>_xlfn.IFNA(INDEX('Shultis Faw'!$F$2:$F$26,MATCH($C796,'Shultis Faw'!$A$2:$A$26,1))+($C796-INDEX('Shultis Faw'!$A$2:$A$26,MATCH($C796,'Shultis Faw'!$A$2:$A$26,1)))*(INDEX('Shultis Faw'!$F$2:$F$26,MATCH($C796,'Shultis Faw'!$A$2:$A$26,1)+1)-INDEX('Shultis Faw'!$F$2:$F$26,MATCH($C796,'Shultis Faw'!$A$2:$A$26,1)))/(INDEX('Shultis Faw'!$A$2:$A$26,MATCH($C796,'Shultis Faw'!$A$2:$A$26,1)+1)-INDEX('Shultis Faw'!$A$2:$A$26,MATCH($C796,'Shultis Faw'!$A$2:$A$26,1))),$C796*'Shultis Faw'!$F$2/'Shultis Faw'!$A$2)</f>
        <v>14.292400000000001</v>
      </c>
      <c r="N796" s="83">
        <f>J796*(H796*'Externe blootstelling'!$D$23/2)^K796+L796*(TANH(((H796*'Externe blootstelling'!$D$23)/(2*M796))-2)-TANH(-2))/(1-TANH(-2))</f>
        <v>1.6576576680516004</v>
      </c>
      <c r="O796" s="83">
        <f>IF(N796=1,1+(I796-1)*H796*'Externe blootstelling'!$D$23/2,1+(I796-1)*(N796^(H796*'Externe blootstelling'!$D$23/2)-1)/(N796-1))</f>
        <v>3.291944630237611</v>
      </c>
      <c r="P796" s="67">
        <f>G796*EXP(-H796*'Externe blootstelling'!$D$23/2)*O796</f>
        <v>4.458800678426329E-5</v>
      </c>
      <c r="Q796" s="68"/>
    </row>
    <row r="797" spans="1:17" x14ac:dyDescent="0.2">
      <c r="A797" s="220"/>
      <c r="B797" s="64" t="s">
        <v>104</v>
      </c>
      <c r="C797" s="66">
        <v>0.54198999999999997</v>
      </c>
      <c r="D797" s="66">
        <f t="shared" si="52"/>
        <v>8.6718399999999993E-14</v>
      </c>
      <c r="E797" s="66">
        <v>1.4E-5</v>
      </c>
      <c r="F797" s="66">
        <f>_xlfn.IFNA(INDEX('hp (pSv cm2)'!$B$2:$B$52,MATCH($C797,'hp (pSv cm2)'!$A$2:$A$52,1))+($C797-INDEX('hp (pSv cm2)'!$A$2:$A$52,MATCH($C797,'hp (pSv cm2)'!$A$2:$A$52,1)))*(INDEX('hp (pSv cm2)'!$B$2:$B$52,MATCH($C797,'hp (pSv cm2)'!$A$2:$A$52,1)+1)-INDEX('hp (pSv cm2)'!$B$2:$B$52,MATCH($C797,'hp (pSv cm2)'!$A$2:$A$52,1)))/(INDEX('hp (pSv cm2)'!$A$2:$A$52,MATCH($C797,'hp (pSv cm2)'!$A$2:$A$52,1)+1)-INDEX('hp (pSv cm2)'!$A$2:$A$52,MATCH($C797,'hp (pSv cm2)'!$A$2:$A$52,1))),$C797*'hp (pSv cm2)'!$B$2/'hp (pSv cm2)'!$A$2)</f>
        <v>2.6547559999999999</v>
      </c>
      <c r="G797" s="67">
        <f t="shared" si="53"/>
        <v>3.7166584E-5</v>
      </c>
      <c r="H797" s="83">
        <f>_xlfn.IFNA(0.997*(INDEX('Mass attenuation coefficients'!$B$2:$B$37,MATCH($C797,'Mass attenuation coefficients'!$A$2:$A$37,1))+($C797-INDEX('Mass attenuation coefficients'!$A$2:$A$37,MATCH($C797,'Mass attenuation coefficients'!$A$2:$A$37,1)))*(INDEX('Mass attenuation coefficients'!$B$2:$B$37,MATCH($C797,'Mass attenuation coefficients'!$A$2:$A$37,1)+1)-INDEX('Mass attenuation coefficients'!$B$2:$B$37,MATCH($C797,'Mass attenuation coefficients'!$A$2:$A$37,1)))/(INDEX('Mass attenuation coefficients'!$A$2:$A$37,MATCH($C797,'Mass attenuation coefficients'!$A$2:$A$37,1)+1)-INDEX('Mass attenuation coefficients'!$A$2:$A$37,MATCH($C797,'Mass attenuation coefficients'!$A$2:$A$37,1)))),0.997*$C797*'Mass attenuation coefficients'!$B$2/'Mass attenuation coefficients'!$A$2)</f>
        <v>9.351912940700001E-2</v>
      </c>
      <c r="I797" s="83">
        <f>_xlfn.IFNA(INDEX('Shultis Faw'!$C$2:$C$26,MATCH($C797,'Shultis Faw'!$A$2:$A$26,1))+($C797-INDEX('Shultis Faw'!$A$2:$A$26,MATCH($C797,'Shultis Faw'!$A$2:$A$26,1)))*(INDEX('Shultis Faw'!$C$2:$C$26,MATCH($C797,'Shultis Faw'!$A$2:$A$26,1)+1)-INDEX('Shultis Faw'!$C$2:$C$26,MATCH($C797,'Shultis Faw'!$A$2:$A$26,1)))/(INDEX('Shultis Faw'!$A$2:$A$26,MATCH($C797,'Shultis Faw'!$A$2:$A$26,1)+1)-INDEX('Shultis Faw'!$A$2:$A$26,MATCH($C797,'Shultis Faw'!$A$2:$A$26,1))),$C797*'Shultis Faw'!$C$2/'Shultis Faw'!$A$2)</f>
        <v>2.4483522999999998</v>
      </c>
      <c r="J797" s="83">
        <f>_xlfn.IFNA(INDEX('Shultis Faw'!$D$2:$D$26,MATCH($C797,'Shultis Faw'!$A$2:$A$26,1))+($C797-INDEX('Shultis Faw'!$A$2:$A$26,MATCH($C797,'Shultis Faw'!$A$2:$A$26,1)))*(INDEX('Shultis Faw'!$D$2:$D$26,MATCH($C797,'Shultis Faw'!$A$2:$A$26,1)+1)-INDEX('Shultis Faw'!$D$2:$D$26,MATCH($C797,'Shultis Faw'!$A$2:$A$26,1)))/(INDEX('Shultis Faw'!$A$2:$A$26,MATCH($C797,'Shultis Faw'!$A$2:$A$26,1)+1)-INDEX('Shultis Faw'!$A$2:$A$26,MATCH($C797,'Shultis Faw'!$A$2:$A$26,1))),$C797*'Shultis Faw'!$D$2/'Shultis Faw'!$A$2)</f>
        <v>1.7294687</v>
      </c>
      <c r="K797" s="83">
        <f>_xlfn.IFNA(INDEX('Shultis Faw'!$B$2:$B$26,MATCH($C797,'Shultis Faw'!$A$2:$A$26,1))+($C797-INDEX('Shultis Faw'!$A$2:$A$26,MATCH($C797,'Shultis Faw'!$A$2:$A$26,1)))*(INDEX('Shultis Faw'!$B$2:$B$26,MATCH($C797,'Shultis Faw'!$A$2:$A$26,1)+1)-INDEX('Shultis Faw'!$B$2:$B$26,MATCH($C797,'Shultis Faw'!$A$2:$A$26,1)))/(INDEX('Shultis Faw'!$A$2:$A$26,MATCH($C797,'Shultis Faw'!$A$2:$A$26,1)+1)-INDEX('Shultis Faw'!$A$2:$A$26,MATCH($C797,'Shultis Faw'!$A$2:$A$26,1))),$C797*'Shultis Faw'!$B$2/'Shultis Faw'!$A$2)</f>
        <v>-0.1303811</v>
      </c>
      <c r="L797" s="83">
        <f>_xlfn.IFNA(INDEX('Shultis Faw'!$E$2:$E$26,MATCH($C797,'Shultis Faw'!$A$2:$A$26,1))+($C797-INDEX('Shultis Faw'!$A$2:$A$26,MATCH($C797,'Shultis Faw'!$A$2:$A$26,1)))*(INDEX('Shultis Faw'!$E$2:$E$26,MATCH($C797,'Shultis Faw'!$A$2:$A$26,1)+1)-INDEX('Shultis Faw'!$E$2:$E$26,MATCH($C797,'Shultis Faw'!$A$2:$A$26,1)))/(INDEX('Shultis Faw'!$A$2:$A$26,MATCH($C797,'Shultis Faw'!$A$2:$A$26,1)+1)-INDEX('Shultis Faw'!$A$2:$A$26,MATCH($C797,'Shultis Faw'!$A$2:$A$26,1))),$C797*'Shultis Faw'!$E$2/'Shultis Faw'!$A$2)</f>
        <v>5.2794430000000003E-2</v>
      </c>
      <c r="M797" s="83">
        <f>_xlfn.IFNA(INDEX('Shultis Faw'!$F$2:$F$26,MATCH($C797,'Shultis Faw'!$A$2:$A$26,1))+($C797-INDEX('Shultis Faw'!$A$2:$A$26,MATCH($C797,'Shultis Faw'!$A$2:$A$26,1)))*(INDEX('Shultis Faw'!$F$2:$F$26,MATCH($C797,'Shultis Faw'!$A$2:$A$26,1)+1)-INDEX('Shultis Faw'!$F$2:$F$26,MATCH($C797,'Shultis Faw'!$A$2:$A$26,1)))/(INDEX('Shultis Faw'!$A$2:$A$26,MATCH($C797,'Shultis Faw'!$A$2:$A$26,1)+1)-INDEX('Shultis Faw'!$A$2:$A$26,MATCH($C797,'Shultis Faw'!$A$2:$A$26,1))),$C797*'Shultis Faw'!$F$2/'Shultis Faw'!$A$2)</f>
        <v>14.28801</v>
      </c>
      <c r="N797" s="83">
        <f>J797*(H797*'Externe blootstelling'!$D$23/2)^K797+L797*(TANH(((H797*'Externe blootstelling'!$D$23)/(2*M797))-2)-TANH(-2))/(1-TANH(-2))</f>
        <v>1.6550138056816219</v>
      </c>
      <c r="O797" s="83">
        <f>IF(N797=1,1+(I797-1)*H797*'Externe blootstelling'!$D$23/2,1+(I797-1)*(N797^(H797*'Externe blootstelling'!$D$23/2)-1)/(N797-1))</f>
        <v>3.2716883275994642</v>
      </c>
      <c r="P797" s="67">
        <f>G797*EXP(-H797*'Externe blootstelling'!$D$23/2)*O797</f>
        <v>2.9902117482795959E-5</v>
      </c>
      <c r="Q797" s="68"/>
    </row>
    <row r="798" spans="1:17" x14ac:dyDescent="0.2">
      <c r="A798" s="220"/>
      <c r="B798" s="64" t="s">
        <v>104</v>
      </c>
      <c r="C798" s="66">
        <v>0.54579999999999995</v>
      </c>
      <c r="D798" s="66">
        <f t="shared" si="52"/>
        <v>8.7327999999999999E-14</v>
      </c>
      <c r="E798" s="66">
        <v>1.1000000000000001E-5</v>
      </c>
      <c r="F798" s="66">
        <f>_xlfn.IFNA(INDEX('hp (pSv cm2)'!$B$2:$B$52,MATCH($C798,'hp (pSv cm2)'!$A$2:$A$52,1))+($C798-INDEX('hp (pSv cm2)'!$A$2:$A$52,MATCH($C798,'hp (pSv cm2)'!$A$2:$A$52,1)))*(INDEX('hp (pSv cm2)'!$B$2:$B$52,MATCH($C798,'hp (pSv cm2)'!$A$2:$A$52,1)+1)-INDEX('hp (pSv cm2)'!$B$2:$B$52,MATCH($C798,'hp (pSv cm2)'!$A$2:$A$52,1)))/(INDEX('hp (pSv cm2)'!$A$2:$A$52,MATCH($C798,'hp (pSv cm2)'!$A$2:$A$52,1)+1)-INDEX('hp (pSv cm2)'!$A$2:$A$52,MATCH($C798,'hp (pSv cm2)'!$A$2:$A$52,1))),$C798*'hp (pSv cm2)'!$B$2/'hp (pSv cm2)'!$A$2)</f>
        <v>2.6715200000000001</v>
      </c>
      <c r="G798" s="67">
        <f t="shared" si="53"/>
        <v>2.9386720000000006E-5</v>
      </c>
      <c r="H798" s="83">
        <f>_xlfn.IFNA(0.997*(INDEX('Mass attenuation coefficients'!$B$2:$B$37,MATCH($C798,'Mass attenuation coefficients'!$A$2:$A$37,1))+($C798-INDEX('Mass attenuation coefficients'!$A$2:$A$37,MATCH($C798,'Mass attenuation coefficients'!$A$2:$A$37,1)))*(INDEX('Mass attenuation coefficients'!$B$2:$B$37,MATCH($C798,'Mass attenuation coefficients'!$A$2:$A$37,1)+1)-INDEX('Mass attenuation coefficients'!$B$2:$B$37,MATCH($C798,'Mass attenuation coefficients'!$A$2:$A$37,1)))/(INDEX('Mass attenuation coefficients'!$A$2:$A$37,MATCH($C798,'Mass attenuation coefficients'!$A$2:$A$37,1)+1)-INDEX('Mass attenuation coefficients'!$A$2:$A$37,MATCH($C798,'Mass attenuation coefficients'!$A$2:$A$37,1)))),0.997*$C798*'Mass attenuation coefficients'!$B$2/'Mass attenuation coefficients'!$A$2)</f>
        <v>9.3241453939999996E-2</v>
      </c>
      <c r="I798" s="83">
        <f>_xlfn.IFNA(INDEX('Shultis Faw'!$C$2:$C$26,MATCH($C798,'Shultis Faw'!$A$2:$A$26,1))+($C798-INDEX('Shultis Faw'!$A$2:$A$26,MATCH($C798,'Shultis Faw'!$A$2:$A$26,1)))*(INDEX('Shultis Faw'!$C$2:$C$26,MATCH($C798,'Shultis Faw'!$A$2:$A$26,1)+1)-INDEX('Shultis Faw'!$C$2:$C$26,MATCH($C798,'Shultis Faw'!$A$2:$A$26,1)))/(INDEX('Shultis Faw'!$A$2:$A$26,MATCH($C798,'Shultis Faw'!$A$2:$A$26,1)+1)-INDEX('Shultis Faw'!$A$2:$A$26,MATCH($C798,'Shultis Faw'!$A$2:$A$26,1))),$C798*'Shultis Faw'!$C$2/'Shultis Faw'!$A$2)</f>
        <v>2.4436659999999999</v>
      </c>
      <c r="J798" s="83">
        <f>_xlfn.IFNA(INDEX('Shultis Faw'!$D$2:$D$26,MATCH($C798,'Shultis Faw'!$A$2:$A$26,1))+($C798-INDEX('Shultis Faw'!$A$2:$A$26,MATCH($C798,'Shultis Faw'!$A$2:$A$26,1)))*(INDEX('Shultis Faw'!$D$2:$D$26,MATCH($C798,'Shultis Faw'!$A$2:$A$26,1)+1)-INDEX('Shultis Faw'!$D$2:$D$26,MATCH($C798,'Shultis Faw'!$A$2:$A$26,1)))/(INDEX('Shultis Faw'!$A$2:$A$26,MATCH($C798,'Shultis Faw'!$A$2:$A$26,1)+1)-INDEX('Shultis Faw'!$A$2:$A$26,MATCH($C798,'Shultis Faw'!$A$2:$A$26,1))),$C798*'Shultis Faw'!$D$2/'Shultis Faw'!$A$2)</f>
        <v>1.726154</v>
      </c>
      <c r="K798" s="83">
        <f>_xlfn.IFNA(INDEX('Shultis Faw'!$B$2:$B$26,MATCH($C798,'Shultis Faw'!$A$2:$A$26,1))+($C798-INDEX('Shultis Faw'!$A$2:$A$26,MATCH($C798,'Shultis Faw'!$A$2:$A$26,1)))*(INDEX('Shultis Faw'!$B$2:$B$26,MATCH($C798,'Shultis Faw'!$A$2:$A$26,1)+1)-INDEX('Shultis Faw'!$B$2:$B$26,MATCH($C798,'Shultis Faw'!$A$2:$A$26,1)))/(INDEX('Shultis Faw'!$A$2:$A$26,MATCH($C798,'Shultis Faw'!$A$2:$A$26,1)+1)-INDEX('Shultis Faw'!$A$2:$A$26,MATCH($C798,'Shultis Faw'!$A$2:$A$26,1))),$C798*'Shultis Faw'!$B$2/'Shultis Faw'!$A$2)</f>
        <v>-0.12996200000000002</v>
      </c>
      <c r="L798" s="83">
        <f>_xlfn.IFNA(INDEX('Shultis Faw'!$E$2:$E$26,MATCH($C798,'Shultis Faw'!$A$2:$A$26,1))+($C798-INDEX('Shultis Faw'!$A$2:$A$26,MATCH($C798,'Shultis Faw'!$A$2:$A$26,1)))*(INDEX('Shultis Faw'!$E$2:$E$26,MATCH($C798,'Shultis Faw'!$A$2:$A$26,1)+1)-INDEX('Shultis Faw'!$E$2:$E$26,MATCH($C798,'Shultis Faw'!$A$2:$A$26,1)))/(INDEX('Shultis Faw'!$A$2:$A$26,MATCH($C798,'Shultis Faw'!$A$2:$A$26,1)+1)-INDEX('Shultis Faw'!$A$2:$A$26,MATCH($C798,'Shultis Faw'!$A$2:$A$26,1))),$C798*'Shultis Faw'!$E$2/'Shultis Faw'!$A$2)</f>
        <v>5.26306E-2</v>
      </c>
      <c r="M798" s="83">
        <f>_xlfn.IFNA(INDEX('Shultis Faw'!$F$2:$F$26,MATCH($C798,'Shultis Faw'!$A$2:$A$26,1))+($C798-INDEX('Shultis Faw'!$A$2:$A$26,MATCH($C798,'Shultis Faw'!$A$2:$A$26,1)))*(INDEX('Shultis Faw'!$F$2:$F$26,MATCH($C798,'Shultis Faw'!$A$2:$A$26,1)+1)-INDEX('Shultis Faw'!$F$2:$F$26,MATCH($C798,'Shultis Faw'!$A$2:$A$26,1)))/(INDEX('Shultis Faw'!$A$2:$A$26,MATCH($C798,'Shultis Faw'!$A$2:$A$26,1)+1)-INDEX('Shultis Faw'!$A$2:$A$26,MATCH($C798,'Shultis Faw'!$A$2:$A$26,1))),$C798*'Shultis Faw'!$F$2/'Shultis Faw'!$A$2)</f>
        <v>14.2842</v>
      </c>
      <c r="N798" s="83">
        <f>J798*(H798*'Externe blootstelling'!$D$23/2)^K798+L798*(TANH(((H798*'Externe blootstelling'!$D$23)/(2*M798))-2)-TANH(-2))/(1-TANH(-2))</f>
        <v>1.6527137528431062</v>
      </c>
      <c r="O798" s="83">
        <f>IF(N798=1,1+(I798-1)*H798*'Externe blootstelling'!$D$23/2,1+(I798-1)*(N798^(H798*'Externe blootstelling'!$D$23/2)-1)/(N798-1))</f>
        <v>3.2542222232368774</v>
      </c>
      <c r="P798" s="67">
        <f>G798*EXP(-H798*'Externe blootstelling'!$D$23/2)*O798</f>
        <v>2.3614817172487739E-5</v>
      </c>
      <c r="Q798" s="68"/>
    </row>
    <row r="799" spans="1:17" x14ac:dyDescent="0.2">
      <c r="A799" s="220"/>
      <c r="B799" s="64" t="s">
        <v>104</v>
      </c>
      <c r="C799" s="66">
        <v>0.57410000000000005</v>
      </c>
      <c r="D799" s="66">
        <f t="shared" si="52"/>
        <v>9.1856E-14</v>
      </c>
      <c r="E799" s="66">
        <v>1.1000000000000001E-5</v>
      </c>
      <c r="F799" s="66">
        <f>_xlfn.IFNA(INDEX('hp (pSv cm2)'!$B$2:$B$52,MATCH($C799,'hp (pSv cm2)'!$A$2:$A$52,1))+($C799-INDEX('hp (pSv cm2)'!$A$2:$A$52,MATCH($C799,'hp (pSv cm2)'!$A$2:$A$52,1)))*(INDEX('hp (pSv cm2)'!$B$2:$B$52,MATCH($C799,'hp (pSv cm2)'!$A$2:$A$52,1)+1)-INDEX('hp (pSv cm2)'!$B$2:$B$52,MATCH($C799,'hp (pSv cm2)'!$A$2:$A$52,1)))/(INDEX('hp (pSv cm2)'!$A$2:$A$52,MATCH($C799,'hp (pSv cm2)'!$A$2:$A$52,1)+1)-INDEX('hp (pSv cm2)'!$A$2:$A$52,MATCH($C799,'hp (pSv cm2)'!$A$2:$A$52,1))),$C799*'hp (pSv cm2)'!$B$2/'hp (pSv cm2)'!$A$2)</f>
        <v>2.7960400000000005</v>
      </c>
      <c r="G799" s="67">
        <f t="shared" si="53"/>
        <v>3.0756440000000012E-5</v>
      </c>
      <c r="H799" s="83">
        <f>_xlfn.IFNA(0.997*(INDEX('Mass attenuation coefficients'!$B$2:$B$37,MATCH($C799,'Mass attenuation coefficients'!$A$2:$A$37,1))+($C799-INDEX('Mass attenuation coefficients'!$A$2:$A$37,MATCH($C799,'Mass attenuation coefficients'!$A$2:$A$37,1)))*(INDEX('Mass attenuation coefficients'!$B$2:$B$37,MATCH($C799,'Mass attenuation coefficients'!$A$2:$A$37,1)+1)-INDEX('Mass attenuation coefficients'!$B$2:$B$37,MATCH($C799,'Mass attenuation coefficients'!$A$2:$A$37,1)))/(INDEX('Mass attenuation coefficients'!$A$2:$A$37,MATCH($C799,'Mass attenuation coefficients'!$A$2:$A$37,1)+1)-INDEX('Mass attenuation coefficients'!$A$2:$A$37,MATCH($C799,'Mass attenuation coefficients'!$A$2:$A$37,1)))),0.997*$C799*'Mass attenuation coefficients'!$B$2/'Mass attenuation coefficients'!$A$2)</f>
        <v>9.1178930129999988E-2</v>
      </c>
      <c r="I799" s="83">
        <f>_xlfn.IFNA(INDEX('Shultis Faw'!$C$2:$C$26,MATCH($C799,'Shultis Faw'!$A$2:$A$26,1))+($C799-INDEX('Shultis Faw'!$A$2:$A$26,MATCH($C799,'Shultis Faw'!$A$2:$A$26,1)))*(INDEX('Shultis Faw'!$C$2:$C$26,MATCH($C799,'Shultis Faw'!$A$2:$A$26,1)+1)-INDEX('Shultis Faw'!$C$2:$C$26,MATCH($C799,'Shultis Faw'!$A$2:$A$26,1)))/(INDEX('Shultis Faw'!$A$2:$A$26,MATCH($C799,'Shultis Faw'!$A$2:$A$26,1)+1)-INDEX('Shultis Faw'!$A$2:$A$26,MATCH($C799,'Shultis Faw'!$A$2:$A$26,1))),$C799*'Shultis Faw'!$C$2/'Shultis Faw'!$A$2)</f>
        <v>2.4088569999999998</v>
      </c>
      <c r="J799" s="83">
        <f>_xlfn.IFNA(INDEX('Shultis Faw'!$D$2:$D$26,MATCH($C799,'Shultis Faw'!$A$2:$A$26,1))+($C799-INDEX('Shultis Faw'!$A$2:$A$26,MATCH($C799,'Shultis Faw'!$A$2:$A$26,1)))*(INDEX('Shultis Faw'!$D$2:$D$26,MATCH($C799,'Shultis Faw'!$A$2:$A$26,1)+1)-INDEX('Shultis Faw'!$D$2:$D$26,MATCH($C799,'Shultis Faw'!$A$2:$A$26,1)))/(INDEX('Shultis Faw'!$A$2:$A$26,MATCH($C799,'Shultis Faw'!$A$2:$A$26,1)+1)-INDEX('Shultis Faw'!$A$2:$A$26,MATCH($C799,'Shultis Faw'!$A$2:$A$26,1))),$C799*'Shultis Faw'!$D$2/'Shultis Faw'!$A$2)</f>
        <v>1.701533</v>
      </c>
      <c r="K799" s="83">
        <f>_xlfn.IFNA(INDEX('Shultis Faw'!$B$2:$B$26,MATCH($C799,'Shultis Faw'!$A$2:$A$26,1))+($C799-INDEX('Shultis Faw'!$A$2:$A$26,MATCH($C799,'Shultis Faw'!$A$2:$A$26,1)))*(INDEX('Shultis Faw'!$B$2:$B$26,MATCH($C799,'Shultis Faw'!$A$2:$A$26,1)+1)-INDEX('Shultis Faw'!$B$2:$B$26,MATCH($C799,'Shultis Faw'!$A$2:$A$26,1)))/(INDEX('Shultis Faw'!$A$2:$A$26,MATCH($C799,'Shultis Faw'!$A$2:$A$26,1)+1)-INDEX('Shultis Faw'!$A$2:$A$26,MATCH($C799,'Shultis Faw'!$A$2:$A$26,1))),$C799*'Shultis Faw'!$B$2/'Shultis Faw'!$A$2)</f>
        <v>-0.12684899999999999</v>
      </c>
      <c r="L799" s="83">
        <f>_xlfn.IFNA(INDEX('Shultis Faw'!$E$2:$E$26,MATCH($C799,'Shultis Faw'!$A$2:$A$26,1))+($C799-INDEX('Shultis Faw'!$A$2:$A$26,MATCH($C799,'Shultis Faw'!$A$2:$A$26,1)))*(INDEX('Shultis Faw'!$E$2:$E$26,MATCH($C799,'Shultis Faw'!$A$2:$A$26,1)+1)-INDEX('Shultis Faw'!$E$2:$E$26,MATCH($C799,'Shultis Faw'!$A$2:$A$26,1)))/(INDEX('Shultis Faw'!$A$2:$A$26,MATCH($C799,'Shultis Faw'!$A$2:$A$26,1)+1)-INDEX('Shultis Faw'!$A$2:$A$26,MATCH($C799,'Shultis Faw'!$A$2:$A$26,1))),$C799*'Shultis Faw'!$E$2/'Shultis Faw'!$A$2)</f>
        <v>5.1413699999999993E-2</v>
      </c>
      <c r="M799" s="83">
        <f>_xlfn.IFNA(INDEX('Shultis Faw'!$F$2:$F$26,MATCH($C799,'Shultis Faw'!$A$2:$A$26,1))+($C799-INDEX('Shultis Faw'!$A$2:$A$26,MATCH($C799,'Shultis Faw'!$A$2:$A$26,1)))*(INDEX('Shultis Faw'!$F$2:$F$26,MATCH($C799,'Shultis Faw'!$A$2:$A$26,1)+1)-INDEX('Shultis Faw'!$F$2:$F$26,MATCH($C799,'Shultis Faw'!$A$2:$A$26,1)))/(INDEX('Shultis Faw'!$A$2:$A$26,MATCH($C799,'Shultis Faw'!$A$2:$A$26,1)+1)-INDEX('Shultis Faw'!$A$2:$A$26,MATCH($C799,'Shultis Faw'!$A$2:$A$26,1))),$C799*'Shultis Faw'!$F$2/'Shultis Faw'!$A$2)</f>
        <v>14.2559</v>
      </c>
      <c r="N799" s="83">
        <f>J799*(H799*'Externe blootstelling'!$D$23/2)^K799+L799*(TANH(((H799*'Externe blootstelling'!$D$23)/(2*M799))-2)-TANH(-2))/(1-TANH(-2))</f>
        <v>1.6354695677490505</v>
      </c>
      <c r="O799" s="83">
        <f>IF(N799=1,1+(I799-1)*H799*'Externe blootstelling'!$D$23/2,1+(I799-1)*(N799^(H799*'Externe blootstelling'!$D$23/2)-1)/(N799-1))</f>
        <v>3.1277444048505894</v>
      </c>
      <c r="P799" s="67">
        <f>G799*EXP(-H799*'Externe blootstelling'!$D$23/2)*O799</f>
        <v>2.45013338422466E-5</v>
      </c>
      <c r="Q799" s="68"/>
    </row>
    <row r="800" spans="1:17" x14ac:dyDescent="0.2">
      <c r="A800" s="220"/>
      <c r="B800" s="64" t="s">
        <v>104</v>
      </c>
      <c r="C800" s="66">
        <v>0.5796</v>
      </c>
      <c r="D800" s="66">
        <f t="shared" si="52"/>
        <v>9.2735999999999992E-14</v>
      </c>
      <c r="E800" s="66">
        <v>1.4E-5</v>
      </c>
      <c r="F800" s="66">
        <f>_xlfn.IFNA(INDEX('hp (pSv cm2)'!$B$2:$B$52,MATCH($C800,'hp (pSv cm2)'!$A$2:$A$52,1))+($C800-INDEX('hp (pSv cm2)'!$A$2:$A$52,MATCH($C800,'hp (pSv cm2)'!$A$2:$A$52,1)))*(INDEX('hp (pSv cm2)'!$B$2:$B$52,MATCH($C800,'hp (pSv cm2)'!$A$2:$A$52,1)+1)-INDEX('hp (pSv cm2)'!$B$2:$B$52,MATCH($C800,'hp (pSv cm2)'!$A$2:$A$52,1)))/(INDEX('hp (pSv cm2)'!$A$2:$A$52,MATCH($C800,'hp (pSv cm2)'!$A$2:$A$52,1)+1)-INDEX('hp (pSv cm2)'!$A$2:$A$52,MATCH($C800,'hp (pSv cm2)'!$A$2:$A$52,1))),$C800*'hp (pSv cm2)'!$B$2/'hp (pSv cm2)'!$A$2)</f>
        <v>2.8202400000000001</v>
      </c>
      <c r="G800" s="67">
        <f t="shared" si="53"/>
        <v>3.9483359999999999E-5</v>
      </c>
      <c r="H800" s="83">
        <f>_xlfn.IFNA(0.997*(INDEX('Mass attenuation coefficients'!$B$2:$B$37,MATCH($C800,'Mass attenuation coefficients'!$A$2:$A$37,1))+($C800-INDEX('Mass attenuation coefficients'!$A$2:$A$37,MATCH($C800,'Mass attenuation coefficients'!$A$2:$A$37,1)))*(INDEX('Mass attenuation coefficients'!$B$2:$B$37,MATCH($C800,'Mass attenuation coefficients'!$A$2:$A$37,1)+1)-INDEX('Mass attenuation coefficients'!$B$2:$B$37,MATCH($C800,'Mass attenuation coefficients'!$A$2:$A$37,1)))/(INDEX('Mass attenuation coefficients'!$A$2:$A$37,MATCH($C800,'Mass attenuation coefficients'!$A$2:$A$37,1)+1)-INDEX('Mass attenuation coefficients'!$A$2:$A$37,MATCH($C800,'Mass attenuation coefficients'!$A$2:$A$37,1)))),0.997*$C800*'Mass attenuation coefficients'!$B$2/'Mass attenuation coefficients'!$A$2)</f>
        <v>9.0778086280000003E-2</v>
      </c>
      <c r="I800" s="83">
        <f>_xlfn.IFNA(INDEX('Shultis Faw'!$C$2:$C$26,MATCH($C800,'Shultis Faw'!$A$2:$A$26,1))+($C800-INDEX('Shultis Faw'!$A$2:$A$26,MATCH($C800,'Shultis Faw'!$A$2:$A$26,1)))*(INDEX('Shultis Faw'!$C$2:$C$26,MATCH($C800,'Shultis Faw'!$A$2:$A$26,1)+1)-INDEX('Shultis Faw'!$C$2:$C$26,MATCH($C800,'Shultis Faw'!$A$2:$A$26,1)))/(INDEX('Shultis Faw'!$A$2:$A$26,MATCH($C800,'Shultis Faw'!$A$2:$A$26,1)+1)-INDEX('Shultis Faw'!$A$2:$A$26,MATCH($C800,'Shultis Faw'!$A$2:$A$26,1))),$C800*'Shultis Faw'!$C$2/'Shultis Faw'!$A$2)</f>
        <v>2.4020919999999997</v>
      </c>
      <c r="J800" s="83">
        <f>_xlfn.IFNA(INDEX('Shultis Faw'!$D$2:$D$26,MATCH($C800,'Shultis Faw'!$A$2:$A$26,1))+($C800-INDEX('Shultis Faw'!$A$2:$A$26,MATCH($C800,'Shultis Faw'!$A$2:$A$26,1)))*(INDEX('Shultis Faw'!$D$2:$D$26,MATCH($C800,'Shultis Faw'!$A$2:$A$26,1)+1)-INDEX('Shultis Faw'!$D$2:$D$26,MATCH($C800,'Shultis Faw'!$A$2:$A$26,1)))/(INDEX('Shultis Faw'!$A$2:$A$26,MATCH($C800,'Shultis Faw'!$A$2:$A$26,1)+1)-INDEX('Shultis Faw'!$A$2:$A$26,MATCH($C800,'Shultis Faw'!$A$2:$A$26,1))),$C800*'Shultis Faw'!$D$2/'Shultis Faw'!$A$2)</f>
        <v>1.6967479999999999</v>
      </c>
      <c r="K800" s="83">
        <f>_xlfn.IFNA(INDEX('Shultis Faw'!$B$2:$B$26,MATCH($C800,'Shultis Faw'!$A$2:$A$26,1))+($C800-INDEX('Shultis Faw'!$A$2:$A$26,MATCH($C800,'Shultis Faw'!$A$2:$A$26,1)))*(INDEX('Shultis Faw'!$B$2:$B$26,MATCH($C800,'Shultis Faw'!$A$2:$A$26,1)+1)-INDEX('Shultis Faw'!$B$2:$B$26,MATCH($C800,'Shultis Faw'!$A$2:$A$26,1)))/(INDEX('Shultis Faw'!$A$2:$A$26,MATCH($C800,'Shultis Faw'!$A$2:$A$26,1)+1)-INDEX('Shultis Faw'!$A$2:$A$26,MATCH($C800,'Shultis Faw'!$A$2:$A$26,1))),$C800*'Shultis Faw'!$B$2/'Shultis Faw'!$A$2)</f>
        <v>-0.126244</v>
      </c>
      <c r="L800" s="83">
        <f>_xlfn.IFNA(INDEX('Shultis Faw'!$E$2:$E$26,MATCH($C800,'Shultis Faw'!$A$2:$A$26,1))+($C800-INDEX('Shultis Faw'!$A$2:$A$26,MATCH($C800,'Shultis Faw'!$A$2:$A$26,1)))*(INDEX('Shultis Faw'!$E$2:$E$26,MATCH($C800,'Shultis Faw'!$A$2:$A$26,1)+1)-INDEX('Shultis Faw'!$E$2:$E$26,MATCH($C800,'Shultis Faw'!$A$2:$A$26,1)))/(INDEX('Shultis Faw'!$A$2:$A$26,MATCH($C800,'Shultis Faw'!$A$2:$A$26,1)+1)-INDEX('Shultis Faw'!$A$2:$A$26,MATCH($C800,'Shultis Faw'!$A$2:$A$26,1))),$C800*'Shultis Faw'!$E$2/'Shultis Faw'!$A$2)</f>
        <v>5.1177199999999999E-2</v>
      </c>
      <c r="M800" s="83">
        <f>_xlfn.IFNA(INDEX('Shultis Faw'!$F$2:$F$26,MATCH($C800,'Shultis Faw'!$A$2:$A$26,1))+($C800-INDEX('Shultis Faw'!$A$2:$A$26,MATCH($C800,'Shultis Faw'!$A$2:$A$26,1)))*(INDEX('Shultis Faw'!$F$2:$F$26,MATCH($C800,'Shultis Faw'!$A$2:$A$26,1)+1)-INDEX('Shultis Faw'!$F$2:$F$26,MATCH($C800,'Shultis Faw'!$A$2:$A$26,1)))/(INDEX('Shultis Faw'!$A$2:$A$26,MATCH($C800,'Shultis Faw'!$A$2:$A$26,1)+1)-INDEX('Shultis Faw'!$A$2:$A$26,MATCH($C800,'Shultis Faw'!$A$2:$A$26,1))),$C800*'Shultis Faw'!$F$2/'Shultis Faw'!$A$2)</f>
        <v>14.250400000000001</v>
      </c>
      <c r="N800" s="83">
        <f>J800*(H800*'Externe blootstelling'!$D$23/2)^K800+L800*(TANH(((H800*'Externe blootstelling'!$D$23)/(2*M800))-2)-TANH(-2))/(1-TANH(-2))</f>
        <v>1.6320855301624611</v>
      </c>
      <c r="O800" s="83">
        <f>IF(N800=1,1+(I800-1)*H800*'Externe blootstelling'!$D$23/2,1+(I800-1)*(N800^(H800*'Externe blootstelling'!$D$23/2)-1)/(N800-1))</f>
        <v>3.1038183059002042</v>
      </c>
      <c r="P800" s="67">
        <f>G800*EXP(-H800*'Externe blootstelling'!$D$23/2)*O800</f>
        <v>3.1401042351294245E-5</v>
      </c>
      <c r="Q800" s="68"/>
    </row>
    <row r="801" spans="1:17" x14ac:dyDescent="0.2">
      <c r="A801" s="220"/>
      <c r="B801" s="64" t="s">
        <v>104</v>
      </c>
      <c r="C801" s="66">
        <v>0.58429999999999993</v>
      </c>
      <c r="D801" s="66">
        <f t="shared" si="52"/>
        <v>9.3487999999999982E-14</v>
      </c>
      <c r="E801" s="66">
        <v>1.4E-5</v>
      </c>
      <c r="F801" s="66">
        <f>_xlfn.IFNA(INDEX('hp (pSv cm2)'!$B$2:$B$52,MATCH($C801,'hp (pSv cm2)'!$A$2:$A$52,1))+($C801-INDEX('hp (pSv cm2)'!$A$2:$A$52,MATCH($C801,'hp (pSv cm2)'!$A$2:$A$52,1)))*(INDEX('hp (pSv cm2)'!$B$2:$B$52,MATCH($C801,'hp (pSv cm2)'!$A$2:$A$52,1)+1)-INDEX('hp (pSv cm2)'!$B$2:$B$52,MATCH($C801,'hp (pSv cm2)'!$A$2:$A$52,1)))/(INDEX('hp (pSv cm2)'!$A$2:$A$52,MATCH($C801,'hp (pSv cm2)'!$A$2:$A$52,1)+1)-INDEX('hp (pSv cm2)'!$A$2:$A$52,MATCH($C801,'hp (pSv cm2)'!$A$2:$A$52,1))),$C801*'hp (pSv cm2)'!$B$2/'hp (pSv cm2)'!$A$2)</f>
        <v>2.8409200000000001</v>
      </c>
      <c r="G801" s="67">
        <f t="shared" si="53"/>
        <v>3.9772879999999999E-5</v>
      </c>
      <c r="H801" s="83">
        <f>_xlfn.IFNA(0.997*(INDEX('Mass attenuation coefficients'!$B$2:$B$37,MATCH($C801,'Mass attenuation coefficients'!$A$2:$A$37,1))+($C801-INDEX('Mass attenuation coefficients'!$A$2:$A$37,MATCH($C801,'Mass attenuation coefficients'!$A$2:$A$37,1)))*(INDEX('Mass attenuation coefficients'!$B$2:$B$37,MATCH($C801,'Mass attenuation coefficients'!$A$2:$A$37,1)+1)-INDEX('Mass attenuation coefficients'!$B$2:$B$37,MATCH($C801,'Mass attenuation coefficients'!$A$2:$A$37,1)))/(INDEX('Mass attenuation coefficients'!$A$2:$A$37,MATCH($C801,'Mass attenuation coefficients'!$A$2:$A$37,1)+1)-INDEX('Mass attenuation coefficients'!$A$2:$A$37,MATCH($C801,'Mass attenuation coefficients'!$A$2:$A$37,1)))),0.997*$C801*'Mass attenuation coefficients'!$B$2/'Mass attenuation coefficients'!$A$2)</f>
        <v>9.0435546990000004E-2</v>
      </c>
      <c r="I801" s="83">
        <f>_xlfn.IFNA(INDEX('Shultis Faw'!$C$2:$C$26,MATCH($C801,'Shultis Faw'!$A$2:$A$26,1))+($C801-INDEX('Shultis Faw'!$A$2:$A$26,MATCH($C801,'Shultis Faw'!$A$2:$A$26,1)))*(INDEX('Shultis Faw'!$C$2:$C$26,MATCH($C801,'Shultis Faw'!$A$2:$A$26,1)+1)-INDEX('Shultis Faw'!$C$2:$C$26,MATCH($C801,'Shultis Faw'!$A$2:$A$26,1)))/(INDEX('Shultis Faw'!$A$2:$A$26,MATCH($C801,'Shultis Faw'!$A$2:$A$26,1)+1)-INDEX('Shultis Faw'!$A$2:$A$26,MATCH($C801,'Shultis Faw'!$A$2:$A$26,1))),$C801*'Shultis Faw'!$C$2/'Shultis Faw'!$A$2)</f>
        <v>2.3963109999999999</v>
      </c>
      <c r="J801" s="83">
        <f>_xlfn.IFNA(INDEX('Shultis Faw'!$D$2:$D$26,MATCH($C801,'Shultis Faw'!$A$2:$A$26,1))+($C801-INDEX('Shultis Faw'!$A$2:$A$26,MATCH($C801,'Shultis Faw'!$A$2:$A$26,1)))*(INDEX('Shultis Faw'!$D$2:$D$26,MATCH($C801,'Shultis Faw'!$A$2:$A$26,1)+1)-INDEX('Shultis Faw'!$D$2:$D$26,MATCH($C801,'Shultis Faw'!$A$2:$A$26,1)))/(INDEX('Shultis Faw'!$A$2:$A$26,MATCH($C801,'Shultis Faw'!$A$2:$A$26,1)+1)-INDEX('Shultis Faw'!$A$2:$A$26,MATCH($C801,'Shultis Faw'!$A$2:$A$26,1))),$C801*'Shultis Faw'!$D$2/'Shultis Faw'!$A$2)</f>
        <v>1.6926590000000001</v>
      </c>
      <c r="K801" s="83">
        <f>_xlfn.IFNA(INDEX('Shultis Faw'!$B$2:$B$26,MATCH($C801,'Shultis Faw'!$A$2:$A$26,1))+($C801-INDEX('Shultis Faw'!$A$2:$A$26,MATCH($C801,'Shultis Faw'!$A$2:$A$26,1)))*(INDEX('Shultis Faw'!$B$2:$B$26,MATCH($C801,'Shultis Faw'!$A$2:$A$26,1)+1)-INDEX('Shultis Faw'!$B$2:$B$26,MATCH($C801,'Shultis Faw'!$A$2:$A$26,1)))/(INDEX('Shultis Faw'!$A$2:$A$26,MATCH($C801,'Shultis Faw'!$A$2:$A$26,1)+1)-INDEX('Shultis Faw'!$A$2:$A$26,MATCH($C801,'Shultis Faw'!$A$2:$A$26,1))),$C801*'Shultis Faw'!$B$2/'Shultis Faw'!$A$2)</f>
        <v>-0.12572700000000001</v>
      </c>
      <c r="L801" s="83">
        <f>_xlfn.IFNA(INDEX('Shultis Faw'!$E$2:$E$26,MATCH($C801,'Shultis Faw'!$A$2:$A$26,1))+($C801-INDEX('Shultis Faw'!$A$2:$A$26,MATCH($C801,'Shultis Faw'!$A$2:$A$26,1)))*(INDEX('Shultis Faw'!$E$2:$E$26,MATCH($C801,'Shultis Faw'!$A$2:$A$26,1)+1)-INDEX('Shultis Faw'!$E$2:$E$26,MATCH($C801,'Shultis Faw'!$A$2:$A$26,1)))/(INDEX('Shultis Faw'!$A$2:$A$26,MATCH($C801,'Shultis Faw'!$A$2:$A$26,1)+1)-INDEX('Shultis Faw'!$A$2:$A$26,MATCH($C801,'Shultis Faw'!$A$2:$A$26,1))),$C801*'Shultis Faw'!$E$2/'Shultis Faw'!$A$2)</f>
        <v>5.0975100000000002E-2</v>
      </c>
      <c r="M801" s="83">
        <f>_xlfn.IFNA(INDEX('Shultis Faw'!$F$2:$F$26,MATCH($C801,'Shultis Faw'!$A$2:$A$26,1))+($C801-INDEX('Shultis Faw'!$A$2:$A$26,MATCH($C801,'Shultis Faw'!$A$2:$A$26,1)))*(INDEX('Shultis Faw'!$F$2:$F$26,MATCH($C801,'Shultis Faw'!$A$2:$A$26,1)+1)-INDEX('Shultis Faw'!$F$2:$F$26,MATCH($C801,'Shultis Faw'!$A$2:$A$26,1)))/(INDEX('Shultis Faw'!$A$2:$A$26,MATCH($C801,'Shultis Faw'!$A$2:$A$26,1)+1)-INDEX('Shultis Faw'!$A$2:$A$26,MATCH($C801,'Shultis Faw'!$A$2:$A$26,1))),$C801*'Shultis Faw'!$F$2/'Shultis Faw'!$A$2)</f>
        <v>14.245700000000001</v>
      </c>
      <c r="N801" s="83">
        <f>J801*(H801*'Externe blootstelling'!$D$23/2)^K801+L801*(TANH(((H801*'Externe blootstelling'!$D$23)/(2*M801))-2)-TANH(-2))/(1-TANH(-2))</f>
        <v>1.6291852847679469</v>
      </c>
      <c r="O801" s="83">
        <f>IF(N801=1,1+(I801-1)*H801*'Externe blootstelling'!$D$23/2,1+(I801-1)*(N801^(H801*'Externe blootstelling'!$D$23/2)-1)/(N801-1))</f>
        <v>3.0835380105410963</v>
      </c>
      <c r="P801" s="67">
        <f>G801*EXP(-H801*'Externe blootstelling'!$D$23/2)*O801</f>
        <v>3.1586496729897312E-5</v>
      </c>
      <c r="Q801" s="68"/>
    </row>
    <row r="802" spans="1:17" x14ac:dyDescent="0.2">
      <c r="A802" s="220"/>
      <c r="B802" s="64" t="s">
        <v>104</v>
      </c>
      <c r="C802" s="66">
        <v>0.59399999999999997</v>
      </c>
      <c r="D802" s="66">
        <f t="shared" si="52"/>
        <v>9.5039999999999992E-14</v>
      </c>
      <c r="E802" s="66">
        <v>1.4E-5</v>
      </c>
      <c r="F802" s="66">
        <f>_xlfn.IFNA(INDEX('hp (pSv cm2)'!$B$2:$B$52,MATCH($C802,'hp (pSv cm2)'!$A$2:$A$52,1))+($C802-INDEX('hp (pSv cm2)'!$A$2:$A$52,MATCH($C802,'hp (pSv cm2)'!$A$2:$A$52,1)))*(INDEX('hp (pSv cm2)'!$B$2:$B$52,MATCH($C802,'hp (pSv cm2)'!$A$2:$A$52,1)+1)-INDEX('hp (pSv cm2)'!$B$2:$B$52,MATCH($C802,'hp (pSv cm2)'!$A$2:$A$52,1)))/(INDEX('hp (pSv cm2)'!$A$2:$A$52,MATCH($C802,'hp (pSv cm2)'!$A$2:$A$52,1)+1)-INDEX('hp (pSv cm2)'!$A$2:$A$52,MATCH($C802,'hp (pSv cm2)'!$A$2:$A$52,1))),$C802*'hp (pSv cm2)'!$B$2/'hp (pSv cm2)'!$A$2)</f>
        <v>2.8835999999999999</v>
      </c>
      <c r="G802" s="67">
        <f t="shared" si="53"/>
        <v>4.0370399999999996E-5</v>
      </c>
      <c r="H802" s="83">
        <f>_xlfn.IFNA(0.997*(INDEX('Mass attenuation coefficients'!$B$2:$B$37,MATCH($C802,'Mass attenuation coefficients'!$A$2:$A$37,1))+($C802-INDEX('Mass attenuation coefficients'!$A$2:$A$37,MATCH($C802,'Mass attenuation coefficients'!$A$2:$A$37,1)))*(INDEX('Mass attenuation coefficients'!$B$2:$B$37,MATCH($C802,'Mass attenuation coefficients'!$A$2:$A$37,1)+1)-INDEX('Mass attenuation coefficients'!$B$2:$B$37,MATCH($C802,'Mass attenuation coefficients'!$A$2:$A$37,1)))/(INDEX('Mass attenuation coefficients'!$A$2:$A$37,MATCH($C802,'Mass attenuation coefficients'!$A$2:$A$37,1)+1)-INDEX('Mass attenuation coefficients'!$A$2:$A$37,MATCH($C802,'Mass attenuation coefficients'!$A$2:$A$37,1)))),0.997*$C802*'Mass attenuation coefficients'!$B$2/'Mass attenuation coefficients'!$A$2)</f>
        <v>8.9728604199999992E-2</v>
      </c>
      <c r="I802" s="83">
        <f>_xlfn.IFNA(INDEX('Shultis Faw'!$C$2:$C$26,MATCH($C802,'Shultis Faw'!$A$2:$A$26,1))+($C802-INDEX('Shultis Faw'!$A$2:$A$26,MATCH($C802,'Shultis Faw'!$A$2:$A$26,1)))*(INDEX('Shultis Faw'!$C$2:$C$26,MATCH($C802,'Shultis Faw'!$A$2:$A$26,1)+1)-INDEX('Shultis Faw'!$C$2:$C$26,MATCH($C802,'Shultis Faw'!$A$2:$A$26,1)))/(INDEX('Shultis Faw'!$A$2:$A$26,MATCH($C802,'Shultis Faw'!$A$2:$A$26,1)+1)-INDEX('Shultis Faw'!$A$2:$A$26,MATCH($C802,'Shultis Faw'!$A$2:$A$26,1))),$C802*'Shultis Faw'!$C$2/'Shultis Faw'!$A$2)</f>
        <v>2.3843799999999997</v>
      </c>
      <c r="J802" s="83">
        <f>_xlfn.IFNA(INDEX('Shultis Faw'!$D$2:$D$26,MATCH($C802,'Shultis Faw'!$A$2:$A$26,1))+($C802-INDEX('Shultis Faw'!$A$2:$A$26,MATCH($C802,'Shultis Faw'!$A$2:$A$26,1)))*(INDEX('Shultis Faw'!$D$2:$D$26,MATCH($C802,'Shultis Faw'!$A$2:$A$26,1)+1)-INDEX('Shultis Faw'!$D$2:$D$26,MATCH($C802,'Shultis Faw'!$A$2:$A$26,1)))/(INDEX('Shultis Faw'!$A$2:$A$26,MATCH($C802,'Shultis Faw'!$A$2:$A$26,1)+1)-INDEX('Shultis Faw'!$A$2:$A$26,MATCH($C802,'Shultis Faw'!$A$2:$A$26,1))),$C802*'Shultis Faw'!$D$2/'Shultis Faw'!$A$2)</f>
        <v>1.6842200000000001</v>
      </c>
      <c r="K802" s="83">
        <f>_xlfn.IFNA(INDEX('Shultis Faw'!$B$2:$B$26,MATCH($C802,'Shultis Faw'!$A$2:$A$26,1))+($C802-INDEX('Shultis Faw'!$A$2:$A$26,MATCH($C802,'Shultis Faw'!$A$2:$A$26,1)))*(INDEX('Shultis Faw'!$B$2:$B$26,MATCH($C802,'Shultis Faw'!$A$2:$A$26,1)+1)-INDEX('Shultis Faw'!$B$2:$B$26,MATCH($C802,'Shultis Faw'!$A$2:$A$26,1)))/(INDEX('Shultis Faw'!$A$2:$A$26,MATCH($C802,'Shultis Faw'!$A$2:$A$26,1)+1)-INDEX('Shultis Faw'!$A$2:$A$26,MATCH($C802,'Shultis Faw'!$A$2:$A$26,1))),$C802*'Shultis Faw'!$B$2/'Shultis Faw'!$A$2)</f>
        <v>-0.12465999999999999</v>
      </c>
      <c r="L802" s="83">
        <f>_xlfn.IFNA(INDEX('Shultis Faw'!$E$2:$E$26,MATCH($C802,'Shultis Faw'!$A$2:$A$26,1))+($C802-INDEX('Shultis Faw'!$A$2:$A$26,MATCH($C802,'Shultis Faw'!$A$2:$A$26,1)))*(INDEX('Shultis Faw'!$E$2:$E$26,MATCH($C802,'Shultis Faw'!$A$2:$A$26,1)+1)-INDEX('Shultis Faw'!$E$2:$E$26,MATCH($C802,'Shultis Faw'!$A$2:$A$26,1)))/(INDEX('Shultis Faw'!$A$2:$A$26,MATCH($C802,'Shultis Faw'!$A$2:$A$26,1)+1)-INDEX('Shultis Faw'!$A$2:$A$26,MATCH($C802,'Shultis Faw'!$A$2:$A$26,1))),$C802*'Shultis Faw'!$E$2/'Shultis Faw'!$A$2)</f>
        <v>5.0557999999999999E-2</v>
      </c>
      <c r="M802" s="83">
        <f>_xlfn.IFNA(INDEX('Shultis Faw'!$F$2:$F$26,MATCH($C802,'Shultis Faw'!$A$2:$A$26,1))+($C802-INDEX('Shultis Faw'!$A$2:$A$26,MATCH($C802,'Shultis Faw'!$A$2:$A$26,1)))*(INDEX('Shultis Faw'!$F$2:$F$26,MATCH($C802,'Shultis Faw'!$A$2:$A$26,1)+1)-INDEX('Shultis Faw'!$F$2:$F$26,MATCH($C802,'Shultis Faw'!$A$2:$A$26,1)))/(INDEX('Shultis Faw'!$A$2:$A$26,MATCH($C802,'Shultis Faw'!$A$2:$A$26,1)+1)-INDEX('Shultis Faw'!$A$2:$A$26,MATCH($C802,'Shultis Faw'!$A$2:$A$26,1))),$C802*'Shultis Faw'!$F$2/'Shultis Faw'!$A$2)</f>
        <v>14.236000000000001</v>
      </c>
      <c r="N802" s="83">
        <f>J802*(H802*'Externe blootstelling'!$D$23/2)^K802+L802*(TANH(((H802*'Externe blootstelling'!$D$23)/(2*M802))-2)-TANH(-2))/(1-TANH(-2))</f>
        <v>1.6231751059713468</v>
      </c>
      <c r="O802" s="83">
        <f>IF(N802=1,1+(I802-1)*H802*'Externe blootstelling'!$D$23/2,1+(I802-1)*(N802^(H802*'Externe blootstelling'!$D$23/2)-1)/(N802-1))</f>
        <v>3.0421609506322547</v>
      </c>
      <c r="P802" s="67">
        <f>G802*EXP(-H802*'Externe blootstelling'!$D$23/2)*O802</f>
        <v>3.196801533226902E-5</v>
      </c>
      <c r="Q802" s="68"/>
    </row>
    <row r="803" spans="1:17" x14ac:dyDescent="0.2">
      <c r="A803" s="220"/>
      <c r="B803" s="64" t="s">
        <v>104</v>
      </c>
      <c r="C803" s="66">
        <v>0.59872100000000006</v>
      </c>
      <c r="D803" s="66">
        <f t="shared" si="52"/>
        <v>9.5795360000000008E-14</v>
      </c>
      <c r="E803" s="66">
        <v>9.2000000000000003E-4</v>
      </c>
      <c r="F803" s="66">
        <f>_xlfn.IFNA(INDEX('hp (pSv cm2)'!$B$2:$B$52,MATCH($C803,'hp (pSv cm2)'!$A$2:$A$52,1))+($C803-INDEX('hp (pSv cm2)'!$A$2:$A$52,MATCH($C803,'hp (pSv cm2)'!$A$2:$A$52,1)))*(INDEX('hp (pSv cm2)'!$B$2:$B$52,MATCH($C803,'hp (pSv cm2)'!$A$2:$A$52,1)+1)-INDEX('hp (pSv cm2)'!$B$2:$B$52,MATCH($C803,'hp (pSv cm2)'!$A$2:$A$52,1)))/(INDEX('hp (pSv cm2)'!$A$2:$A$52,MATCH($C803,'hp (pSv cm2)'!$A$2:$A$52,1)+1)-INDEX('hp (pSv cm2)'!$A$2:$A$52,MATCH($C803,'hp (pSv cm2)'!$A$2:$A$52,1))),$C803*'hp (pSv cm2)'!$B$2/'hp (pSv cm2)'!$A$2)</f>
        <v>2.9043724000000006</v>
      </c>
      <c r="G803" s="67">
        <f t="shared" si="53"/>
        <v>2.6720226080000006E-3</v>
      </c>
      <c r="H803" s="83">
        <f>_xlfn.IFNA(0.997*(INDEX('Mass attenuation coefficients'!$B$2:$B$37,MATCH($C803,'Mass attenuation coefficients'!$A$2:$A$37,1))+($C803-INDEX('Mass attenuation coefficients'!$A$2:$A$37,MATCH($C803,'Mass attenuation coefficients'!$A$2:$A$37,1)))*(INDEX('Mass attenuation coefficients'!$B$2:$B$37,MATCH($C803,'Mass attenuation coefficients'!$A$2:$A$37,1)+1)-INDEX('Mass attenuation coefficients'!$B$2:$B$37,MATCH($C803,'Mass attenuation coefficients'!$A$2:$A$37,1)))/(INDEX('Mass attenuation coefficients'!$A$2:$A$37,MATCH($C803,'Mass attenuation coefficients'!$A$2:$A$37,1)+1)-INDEX('Mass attenuation coefficients'!$A$2:$A$37,MATCH($C803,'Mass attenuation coefficients'!$A$2:$A$37,1)))),0.997*$C803*'Mass attenuation coefficients'!$B$2/'Mass attenuation coefficients'!$A$2)</f>
        <v>8.938453441529999E-2</v>
      </c>
      <c r="I803" s="83">
        <f>_xlfn.IFNA(INDEX('Shultis Faw'!$C$2:$C$26,MATCH($C803,'Shultis Faw'!$A$2:$A$26,1))+($C803-INDEX('Shultis Faw'!$A$2:$A$26,MATCH($C803,'Shultis Faw'!$A$2:$A$26,1)))*(INDEX('Shultis Faw'!$C$2:$C$26,MATCH($C803,'Shultis Faw'!$A$2:$A$26,1)+1)-INDEX('Shultis Faw'!$C$2:$C$26,MATCH($C803,'Shultis Faw'!$A$2:$A$26,1)))/(INDEX('Shultis Faw'!$A$2:$A$26,MATCH($C803,'Shultis Faw'!$A$2:$A$26,1)+1)-INDEX('Shultis Faw'!$A$2:$A$26,MATCH($C803,'Shultis Faw'!$A$2:$A$26,1))),$C803*'Shultis Faw'!$C$2/'Shultis Faw'!$A$2)</f>
        <v>2.3785731699999997</v>
      </c>
      <c r="J803" s="83">
        <f>_xlfn.IFNA(INDEX('Shultis Faw'!$D$2:$D$26,MATCH($C803,'Shultis Faw'!$A$2:$A$26,1))+($C803-INDEX('Shultis Faw'!$A$2:$A$26,MATCH($C803,'Shultis Faw'!$A$2:$A$26,1)))*(INDEX('Shultis Faw'!$D$2:$D$26,MATCH($C803,'Shultis Faw'!$A$2:$A$26,1)+1)-INDEX('Shultis Faw'!$D$2:$D$26,MATCH($C803,'Shultis Faw'!$A$2:$A$26,1)))/(INDEX('Shultis Faw'!$A$2:$A$26,MATCH($C803,'Shultis Faw'!$A$2:$A$26,1)+1)-INDEX('Shultis Faw'!$A$2:$A$26,MATCH($C803,'Shultis Faw'!$A$2:$A$26,1))),$C803*'Shultis Faw'!$D$2/'Shultis Faw'!$A$2)</f>
        <v>1.6801127300000001</v>
      </c>
      <c r="K803" s="83">
        <f>_xlfn.IFNA(INDEX('Shultis Faw'!$B$2:$B$26,MATCH($C803,'Shultis Faw'!$A$2:$A$26,1))+($C803-INDEX('Shultis Faw'!$A$2:$A$26,MATCH($C803,'Shultis Faw'!$A$2:$A$26,1)))*(INDEX('Shultis Faw'!$B$2:$B$26,MATCH($C803,'Shultis Faw'!$A$2:$A$26,1)+1)-INDEX('Shultis Faw'!$B$2:$B$26,MATCH($C803,'Shultis Faw'!$A$2:$A$26,1)))/(INDEX('Shultis Faw'!$A$2:$A$26,MATCH($C803,'Shultis Faw'!$A$2:$A$26,1)+1)-INDEX('Shultis Faw'!$A$2:$A$26,MATCH($C803,'Shultis Faw'!$A$2:$A$26,1))),$C803*'Shultis Faw'!$B$2/'Shultis Faw'!$A$2)</f>
        <v>-0.12414069</v>
      </c>
      <c r="L803" s="83">
        <f>_xlfn.IFNA(INDEX('Shultis Faw'!$E$2:$E$26,MATCH($C803,'Shultis Faw'!$A$2:$A$26,1))+($C803-INDEX('Shultis Faw'!$A$2:$A$26,MATCH($C803,'Shultis Faw'!$A$2:$A$26,1)))*(INDEX('Shultis Faw'!$E$2:$E$26,MATCH($C803,'Shultis Faw'!$A$2:$A$26,1)+1)-INDEX('Shultis Faw'!$E$2:$E$26,MATCH($C803,'Shultis Faw'!$A$2:$A$26,1)))/(INDEX('Shultis Faw'!$A$2:$A$26,MATCH($C803,'Shultis Faw'!$A$2:$A$26,1)+1)-INDEX('Shultis Faw'!$A$2:$A$26,MATCH($C803,'Shultis Faw'!$A$2:$A$26,1))),$C803*'Shultis Faw'!$E$2/'Shultis Faw'!$A$2)</f>
        <v>5.0354996999999992E-2</v>
      </c>
      <c r="M803" s="83">
        <f>_xlfn.IFNA(INDEX('Shultis Faw'!$F$2:$F$26,MATCH($C803,'Shultis Faw'!$A$2:$A$26,1))+($C803-INDEX('Shultis Faw'!$A$2:$A$26,MATCH($C803,'Shultis Faw'!$A$2:$A$26,1)))*(INDEX('Shultis Faw'!$F$2:$F$26,MATCH($C803,'Shultis Faw'!$A$2:$A$26,1)+1)-INDEX('Shultis Faw'!$F$2:$F$26,MATCH($C803,'Shultis Faw'!$A$2:$A$26,1)))/(INDEX('Shultis Faw'!$A$2:$A$26,MATCH($C803,'Shultis Faw'!$A$2:$A$26,1)+1)-INDEX('Shultis Faw'!$A$2:$A$26,MATCH($C803,'Shultis Faw'!$A$2:$A$26,1))),$C803*'Shultis Faw'!$F$2/'Shultis Faw'!$A$2)</f>
        <v>14.231279000000001</v>
      </c>
      <c r="N803" s="83">
        <f>J803*(H803*'Externe blootstelling'!$D$23/2)^K803+L803*(TANH(((H803*'Externe blootstelling'!$D$23)/(2*M803))-2)-TANH(-2))/(1-TANH(-2))</f>
        <v>1.6202379723373033</v>
      </c>
      <c r="O803" s="83">
        <f>IF(N803=1,1+(I803-1)*H803*'Externe blootstelling'!$D$23/2,1+(I803-1)*(N803^(H803*'Externe blootstelling'!$D$23/2)-1)/(N803-1))</f>
        <v>3.0222535439922216</v>
      </c>
      <c r="P803" s="67">
        <f>G803*EXP(-H803*'Externe blootstelling'!$D$23/2)*O803</f>
        <v>2.1129191192592496E-3</v>
      </c>
      <c r="Q803" s="68"/>
    </row>
    <row r="804" spans="1:17" x14ac:dyDescent="0.2">
      <c r="A804" s="220"/>
      <c r="B804" s="64" t="s">
        <v>104</v>
      </c>
      <c r="C804" s="66">
        <v>0.60930999999999991</v>
      </c>
      <c r="D804" s="66">
        <f t="shared" si="52"/>
        <v>9.748959999999998E-14</v>
      </c>
      <c r="E804" s="66">
        <v>5.6999999999999998E-4</v>
      </c>
      <c r="F804" s="66">
        <f>_xlfn.IFNA(INDEX('hp (pSv cm2)'!$B$2:$B$52,MATCH($C804,'hp (pSv cm2)'!$A$2:$A$52,1))+($C804-INDEX('hp (pSv cm2)'!$A$2:$A$52,MATCH($C804,'hp (pSv cm2)'!$A$2:$A$52,1)))*(INDEX('hp (pSv cm2)'!$B$2:$B$52,MATCH($C804,'hp (pSv cm2)'!$A$2:$A$52,1)+1)-INDEX('hp (pSv cm2)'!$B$2:$B$52,MATCH($C804,'hp (pSv cm2)'!$A$2:$A$52,1)))/(INDEX('hp (pSv cm2)'!$A$2:$A$52,MATCH($C804,'hp (pSv cm2)'!$A$2:$A$52,1)+1)-INDEX('hp (pSv cm2)'!$A$2:$A$52,MATCH($C804,'hp (pSv cm2)'!$A$2:$A$52,1))),$C804*'hp (pSv cm2)'!$B$2/'hp (pSv cm2)'!$A$2)</f>
        <v>2.9481709999999999</v>
      </c>
      <c r="G804" s="67">
        <f t="shared" si="53"/>
        <v>1.6804574699999999E-3</v>
      </c>
      <c r="H804" s="83">
        <f>_xlfn.IFNA(0.997*(INDEX('Mass attenuation coefficients'!$B$2:$B$37,MATCH($C804,'Mass attenuation coefficients'!$A$2:$A$37,1))+($C804-INDEX('Mass attenuation coefficients'!$A$2:$A$37,MATCH($C804,'Mass attenuation coefficients'!$A$2:$A$37,1)))*(INDEX('Mass attenuation coefficients'!$B$2:$B$37,MATCH($C804,'Mass attenuation coefficients'!$A$2:$A$37,1)+1)-INDEX('Mass attenuation coefficients'!$B$2:$B$37,MATCH($C804,'Mass attenuation coefficients'!$A$2:$A$37,1)))/(INDEX('Mass attenuation coefficients'!$A$2:$A$37,MATCH($C804,'Mass attenuation coefficients'!$A$2:$A$37,1)+1)-INDEX('Mass attenuation coefficients'!$A$2:$A$37,MATCH($C804,'Mass attenuation coefficients'!$A$2:$A$37,1)))),0.997*$C804*'Mass attenuation coefficients'!$B$2/'Mass attenuation coefficients'!$A$2)</f>
        <v>8.8784983081499999E-2</v>
      </c>
      <c r="I804" s="83">
        <f>_xlfn.IFNA(INDEX('Shultis Faw'!$C$2:$C$26,MATCH($C804,'Shultis Faw'!$A$2:$A$26,1))+($C804-INDEX('Shultis Faw'!$A$2:$A$26,MATCH($C804,'Shultis Faw'!$A$2:$A$26,1)))*(INDEX('Shultis Faw'!$C$2:$C$26,MATCH($C804,'Shultis Faw'!$A$2:$A$26,1)+1)-INDEX('Shultis Faw'!$C$2:$C$26,MATCH($C804,'Shultis Faw'!$A$2:$A$26,1)))/(INDEX('Shultis Faw'!$A$2:$A$26,MATCH($C804,'Shultis Faw'!$A$2:$A$26,1)+1)-INDEX('Shultis Faw'!$A$2:$A$26,MATCH($C804,'Shultis Faw'!$A$2:$A$26,1))),$C804*'Shultis Faw'!$C$2/'Shultis Faw'!$A$2)</f>
        <v>2.3693192499999998</v>
      </c>
      <c r="J804" s="83">
        <f>_xlfn.IFNA(INDEX('Shultis Faw'!$D$2:$D$26,MATCH($C804,'Shultis Faw'!$A$2:$A$26,1))+($C804-INDEX('Shultis Faw'!$A$2:$A$26,MATCH($C804,'Shultis Faw'!$A$2:$A$26,1)))*(INDEX('Shultis Faw'!$D$2:$D$26,MATCH($C804,'Shultis Faw'!$A$2:$A$26,1)+1)-INDEX('Shultis Faw'!$D$2:$D$26,MATCH($C804,'Shultis Faw'!$A$2:$A$26,1)))/(INDEX('Shultis Faw'!$A$2:$A$26,MATCH($C804,'Shultis Faw'!$A$2:$A$26,1)+1)-INDEX('Shultis Faw'!$A$2:$A$26,MATCH($C804,'Shultis Faw'!$A$2:$A$26,1))),$C804*'Shultis Faw'!$D$2/'Shultis Faw'!$A$2)</f>
        <v>1.6727157500000001</v>
      </c>
      <c r="K804" s="83">
        <f>_xlfn.IFNA(INDEX('Shultis Faw'!$B$2:$B$26,MATCH($C804,'Shultis Faw'!$A$2:$A$26,1))+($C804-INDEX('Shultis Faw'!$A$2:$A$26,MATCH($C804,'Shultis Faw'!$A$2:$A$26,1)))*(INDEX('Shultis Faw'!$B$2:$B$26,MATCH($C804,'Shultis Faw'!$A$2:$A$26,1)+1)-INDEX('Shultis Faw'!$B$2:$B$26,MATCH($C804,'Shultis Faw'!$A$2:$A$26,1)))/(INDEX('Shultis Faw'!$A$2:$A$26,MATCH($C804,'Shultis Faw'!$A$2:$A$26,1)+1)-INDEX('Shultis Faw'!$A$2:$A$26,MATCH($C804,'Shultis Faw'!$A$2:$A$26,1))),$C804*'Shultis Faw'!$B$2/'Shultis Faw'!$A$2)</f>
        <v>-0.12311555</v>
      </c>
      <c r="L804" s="83">
        <f>_xlfn.IFNA(INDEX('Shultis Faw'!$E$2:$E$26,MATCH($C804,'Shultis Faw'!$A$2:$A$26,1))+($C804-INDEX('Shultis Faw'!$A$2:$A$26,MATCH($C804,'Shultis Faw'!$A$2:$A$26,1)))*(INDEX('Shultis Faw'!$E$2:$E$26,MATCH($C804,'Shultis Faw'!$A$2:$A$26,1)+1)-INDEX('Shultis Faw'!$E$2:$E$26,MATCH($C804,'Shultis Faw'!$A$2:$A$26,1)))/(INDEX('Shultis Faw'!$A$2:$A$26,MATCH($C804,'Shultis Faw'!$A$2:$A$26,1)+1)-INDEX('Shultis Faw'!$A$2:$A$26,MATCH($C804,'Shultis Faw'!$A$2:$A$26,1))),$C804*'Shultis Faw'!$E$2/'Shultis Faw'!$A$2)</f>
        <v>4.9992769999999999E-2</v>
      </c>
      <c r="M804" s="83">
        <f>_xlfn.IFNA(INDEX('Shultis Faw'!$F$2:$F$26,MATCH($C804,'Shultis Faw'!$A$2:$A$26,1))+($C804-INDEX('Shultis Faw'!$A$2:$A$26,MATCH($C804,'Shultis Faw'!$A$2:$A$26,1)))*(INDEX('Shultis Faw'!$F$2:$F$26,MATCH($C804,'Shultis Faw'!$A$2:$A$26,1)+1)-INDEX('Shultis Faw'!$F$2:$F$26,MATCH($C804,'Shultis Faw'!$A$2:$A$26,1)))/(INDEX('Shultis Faw'!$A$2:$A$26,MATCH($C804,'Shultis Faw'!$A$2:$A$26,1)+1)-INDEX('Shultis Faw'!$A$2:$A$26,MATCH($C804,'Shultis Faw'!$A$2:$A$26,1))),$C804*'Shultis Faw'!$F$2/'Shultis Faw'!$A$2)</f>
        <v>14.2360515</v>
      </c>
      <c r="N804" s="83">
        <f>J804*(H804*'Externe blootstelling'!$D$23/2)^K804+L804*(TANH(((H804*'Externe blootstelling'!$D$23)/(2*M804))-2)-TANH(-2))/(1-TANH(-2))</f>
        <v>1.6149249872968383</v>
      </c>
      <c r="O804" s="83">
        <f>IF(N804=1,1+(I804-1)*H804*'Externe blootstelling'!$D$23/2,1+(I804-1)*(N804^(H804*'Externe blootstelling'!$D$23/2)-1)/(N804-1))</f>
        <v>2.9891349683165389</v>
      </c>
      <c r="P804" s="67">
        <f>G804*EXP(-H804*'Externe blootstelling'!$D$23/2)*O804</f>
        <v>1.3261438247279054E-3</v>
      </c>
      <c r="Q804" s="68"/>
    </row>
    <row r="805" spans="1:17" x14ac:dyDescent="0.2">
      <c r="A805" s="220"/>
      <c r="B805" s="64" t="s">
        <v>104</v>
      </c>
      <c r="C805" s="66">
        <v>0.61909999999999998</v>
      </c>
      <c r="D805" s="66">
        <f t="shared" si="52"/>
        <v>9.9055999999999997E-14</v>
      </c>
      <c r="E805" s="66">
        <v>3.6000000000000001E-5</v>
      </c>
      <c r="F805" s="66">
        <f>_xlfn.IFNA(INDEX('hp (pSv cm2)'!$B$2:$B$52,MATCH($C805,'hp (pSv cm2)'!$A$2:$A$52,1))+($C805-INDEX('hp (pSv cm2)'!$A$2:$A$52,MATCH($C805,'hp (pSv cm2)'!$A$2:$A$52,1)))*(INDEX('hp (pSv cm2)'!$B$2:$B$52,MATCH($C805,'hp (pSv cm2)'!$A$2:$A$52,1)+1)-INDEX('hp (pSv cm2)'!$B$2:$B$52,MATCH($C805,'hp (pSv cm2)'!$A$2:$A$52,1)))/(INDEX('hp (pSv cm2)'!$A$2:$A$52,MATCH($C805,'hp (pSv cm2)'!$A$2:$A$52,1)+1)-INDEX('hp (pSv cm2)'!$A$2:$A$52,MATCH($C805,'hp (pSv cm2)'!$A$2:$A$52,1))),$C805*'hp (pSv cm2)'!$B$2/'hp (pSv cm2)'!$A$2)</f>
        <v>2.9883100000000002</v>
      </c>
      <c r="G805" s="67">
        <f t="shared" si="53"/>
        <v>1.0757916000000001E-4</v>
      </c>
      <c r="H805" s="83">
        <f>_xlfn.IFNA(0.997*(INDEX('Mass attenuation coefficients'!$B$2:$B$37,MATCH($C805,'Mass attenuation coefficients'!$A$2:$A$37,1))+($C805-INDEX('Mass attenuation coefficients'!$A$2:$A$37,MATCH($C805,'Mass attenuation coefficients'!$A$2:$A$37,1)))*(INDEX('Mass attenuation coefficients'!$B$2:$B$37,MATCH($C805,'Mass attenuation coefficients'!$A$2:$A$37,1)+1)-INDEX('Mass attenuation coefficients'!$B$2:$B$37,MATCH($C805,'Mass attenuation coefficients'!$A$2:$A$37,1)))/(INDEX('Mass attenuation coefficients'!$A$2:$A$37,MATCH($C805,'Mass attenuation coefficients'!$A$2:$A$37,1)+1)-INDEX('Mass attenuation coefficients'!$A$2:$A$37,MATCH($C805,'Mass attenuation coefficients'!$A$2:$A$37,1)))),0.997*$C805*'Mass attenuation coefficients'!$B$2/'Mass attenuation coefficients'!$A$2)</f>
        <v>8.8252540715000008E-2</v>
      </c>
      <c r="I805" s="83">
        <f>_xlfn.IFNA(INDEX('Shultis Faw'!$C$2:$C$26,MATCH($C805,'Shultis Faw'!$A$2:$A$26,1))+($C805-INDEX('Shultis Faw'!$A$2:$A$26,MATCH($C805,'Shultis Faw'!$A$2:$A$26,1)))*(INDEX('Shultis Faw'!$C$2:$C$26,MATCH($C805,'Shultis Faw'!$A$2:$A$26,1)+1)-INDEX('Shultis Faw'!$C$2:$C$26,MATCH($C805,'Shultis Faw'!$A$2:$A$26,1)))/(INDEX('Shultis Faw'!$A$2:$A$26,MATCH($C805,'Shultis Faw'!$A$2:$A$26,1)+1)-INDEX('Shultis Faw'!$A$2:$A$26,MATCH($C805,'Shultis Faw'!$A$2:$A$26,1))),$C805*'Shultis Faw'!$C$2/'Shultis Faw'!$A$2)</f>
        <v>2.3612424999999999</v>
      </c>
      <c r="J805" s="83">
        <f>_xlfn.IFNA(INDEX('Shultis Faw'!$D$2:$D$26,MATCH($C805,'Shultis Faw'!$A$2:$A$26,1))+($C805-INDEX('Shultis Faw'!$A$2:$A$26,MATCH($C805,'Shultis Faw'!$A$2:$A$26,1)))*(INDEX('Shultis Faw'!$D$2:$D$26,MATCH($C805,'Shultis Faw'!$A$2:$A$26,1)+1)-INDEX('Shultis Faw'!$D$2:$D$26,MATCH($C805,'Shultis Faw'!$A$2:$A$26,1)))/(INDEX('Shultis Faw'!$A$2:$A$26,MATCH($C805,'Shultis Faw'!$A$2:$A$26,1)+1)-INDEX('Shultis Faw'!$A$2:$A$26,MATCH($C805,'Shultis Faw'!$A$2:$A$26,1))),$C805*'Shultis Faw'!$D$2/'Shultis Faw'!$A$2)</f>
        <v>1.6661075000000001</v>
      </c>
      <c r="K805" s="83">
        <f>_xlfn.IFNA(INDEX('Shultis Faw'!$B$2:$B$26,MATCH($C805,'Shultis Faw'!$A$2:$A$26,1))+($C805-INDEX('Shultis Faw'!$A$2:$A$26,MATCH($C805,'Shultis Faw'!$A$2:$A$26,1)))*(INDEX('Shultis Faw'!$B$2:$B$26,MATCH($C805,'Shultis Faw'!$A$2:$A$26,1)+1)-INDEX('Shultis Faw'!$B$2:$B$26,MATCH($C805,'Shultis Faw'!$A$2:$A$26,1)))/(INDEX('Shultis Faw'!$A$2:$A$26,MATCH($C805,'Shultis Faw'!$A$2:$A$26,1)+1)-INDEX('Shultis Faw'!$A$2:$A$26,MATCH($C805,'Shultis Faw'!$A$2:$A$26,1))),$C805*'Shultis Faw'!$B$2/'Shultis Faw'!$A$2)</f>
        <v>-0.1221855</v>
      </c>
      <c r="L805" s="83">
        <f>_xlfn.IFNA(INDEX('Shultis Faw'!$E$2:$E$26,MATCH($C805,'Shultis Faw'!$A$2:$A$26,1))+($C805-INDEX('Shultis Faw'!$A$2:$A$26,MATCH($C805,'Shultis Faw'!$A$2:$A$26,1)))*(INDEX('Shultis Faw'!$E$2:$E$26,MATCH($C805,'Shultis Faw'!$A$2:$A$26,1)+1)-INDEX('Shultis Faw'!$E$2:$E$26,MATCH($C805,'Shultis Faw'!$A$2:$A$26,1)))/(INDEX('Shultis Faw'!$A$2:$A$26,MATCH($C805,'Shultis Faw'!$A$2:$A$26,1)+1)-INDEX('Shultis Faw'!$A$2:$A$26,MATCH($C805,'Shultis Faw'!$A$2:$A$26,1))),$C805*'Shultis Faw'!$E$2/'Shultis Faw'!$A$2)</f>
        <v>4.9669699999999997E-2</v>
      </c>
      <c r="M805" s="83">
        <f>_xlfn.IFNA(INDEX('Shultis Faw'!$F$2:$F$26,MATCH($C805,'Shultis Faw'!$A$2:$A$26,1))+($C805-INDEX('Shultis Faw'!$A$2:$A$26,MATCH($C805,'Shultis Faw'!$A$2:$A$26,1)))*(INDEX('Shultis Faw'!$F$2:$F$26,MATCH($C805,'Shultis Faw'!$A$2:$A$26,1)+1)-INDEX('Shultis Faw'!$F$2:$F$26,MATCH($C805,'Shultis Faw'!$A$2:$A$26,1)))/(INDEX('Shultis Faw'!$A$2:$A$26,MATCH($C805,'Shultis Faw'!$A$2:$A$26,1)+1)-INDEX('Shultis Faw'!$A$2:$A$26,MATCH($C805,'Shultis Faw'!$A$2:$A$26,1))),$C805*'Shultis Faw'!$F$2/'Shultis Faw'!$A$2)</f>
        <v>14.242415000000001</v>
      </c>
      <c r="N805" s="83">
        <f>J805*(H805*'Externe blootstelling'!$D$23/2)^K805+L805*(TANH(((H805*'Externe blootstelling'!$D$23)/(2*M805))-2)-TANH(-2))/(1-TANH(-2))</f>
        <v>1.6101547501149198</v>
      </c>
      <c r="O805" s="83">
        <f>IF(N805=1,1+(I805-1)*H805*'Externe blootstelling'!$D$23/2,1+(I805-1)*(N805^(H805*'Externe blootstelling'!$D$23/2)-1)/(N805-1))</f>
        <v>2.9602788976437822</v>
      </c>
      <c r="P805" s="67">
        <f>G805*EXP(-H805*'Externe blootstelling'!$D$23/2)*O805</f>
        <v>8.4751404976853771E-5</v>
      </c>
      <c r="Q805" s="68"/>
    </row>
    <row r="806" spans="1:17" x14ac:dyDescent="0.2">
      <c r="A806" s="220"/>
      <c r="B806" s="64" t="s">
        <v>104</v>
      </c>
      <c r="C806" s="66">
        <v>0.6236799999999999</v>
      </c>
      <c r="D806" s="66">
        <f t="shared" si="52"/>
        <v>9.9788799999999973E-14</v>
      </c>
      <c r="E806" s="66">
        <v>8.9999999999999992E-5</v>
      </c>
      <c r="F806" s="66">
        <f>_xlfn.IFNA(INDEX('hp (pSv cm2)'!$B$2:$B$52,MATCH($C806,'hp (pSv cm2)'!$A$2:$A$52,1))+($C806-INDEX('hp (pSv cm2)'!$A$2:$A$52,MATCH($C806,'hp (pSv cm2)'!$A$2:$A$52,1)))*(INDEX('hp (pSv cm2)'!$B$2:$B$52,MATCH($C806,'hp (pSv cm2)'!$A$2:$A$52,1)+1)-INDEX('hp (pSv cm2)'!$B$2:$B$52,MATCH($C806,'hp (pSv cm2)'!$A$2:$A$52,1)))/(INDEX('hp (pSv cm2)'!$A$2:$A$52,MATCH($C806,'hp (pSv cm2)'!$A$2:$A$52,1)+1)-INDEX('hp (pSv cm2)'!$A$2:$A$52,MATCH($C806,'hp (pSv cm2)'!$A$2:$A$52,1))),$C806*'hp (pSv cm2)'!$B$2/'hp (pSv cm2)'!$A$2)</f>
        <v>3.007088</v>
      </c>
      <c r="G806" s="67">
        <f t="shared" si="53"/>
        <v>2.7063791999999996E-4</v>
      </c>
      <c r="H806" s="83">
        <f>_xlfn.IFNA(0.997*(INDEX('Mass attenuation coefficients'!$B$2:$B$37,MATCH($C806,'Mass attenuation coefficients'!$A$2:$A$37,1))+($C806-INDEX('Mass attenuation coefficients'!$A$2:$A$37,MATCH($C806,'Mass attenuation coefficients'!$A$2:$A$37,1)))*(INDEX('Mass attenuation coefficients'!$B$2:$B$37,MATCH($C806,'Mass attenuation coefficients'!$A$2:$A$37,1)+1)-INDEX('Mass attenuation coefficients'!$B$2:$B$37,MATCH($C806,'Mass attenuation coefficients'!$A$2:$A$37,1)))/(INDEX('Mass attenuation coefficients'!$A$2:$A$37,MATCH($C806,'Mass attenuation coefficients'!$A$2:$A$37,1)+1)-INDEX('Mass attenuation coefficients'!$A$2:$A$37,MATCH($C806,'Mass attenuation coefficients'!$A$2:$A$37,1)))),0.997*$C806*'Mass attenuation coefficients'!$B$2/'Mass attenuation coefficients'!$A$2)</f>
        <v>8.8003451231999999E-2</v>
      </c>
      <c r="I806" s="83">
        <f>_xlfn.IFNA(INDEX('Shultis Faw'!$C$2:$C$26,MATCH($C806,'Shultis Faw'!$A$2:$A$26,1))+($C806-INDEX('Shultis Faw'!$A$2:$A$26,MATCH($C806,'Shultis Faw'!$A$2:$A$26,1)))*(INDEX('Shultis Faw'!$C$2:$C$26,MATCH($C806,'Shultis Faw'!$A$2:$A$26,1)+1)-INDEX('Shultis Faw'!$C$2:$C$26,MATCH($C806,'Shultis Faw'!$A$2:$A$26,1)))/(INDEX('Shultis Faw'!$A$2:$A$26,MATCH($C806,'Shultis Faw'!$A$2:$A$26,1)+1)-INDEX('Shultis Faw'!$A$2:$A$26,MATCH($C806,'Shultis Faw'!$A$2:$A$26,1))),$C806*'Shultis Faw'!$C$2/'Shultis Faw'!$A$2)</f>
        <v>2.3574639999999998</v>
      </c>
      <c r="J806" s="83">
        <f>_xlfn.IFNA(INDEX('Shultis Faw'!$D$2:$D$26,MATCH($C806,'Shultis Faw'!$A$2:$A$26,1))+($C806-INDEX('Shultis Faw'!$A$2:$A$26,MATCH($C806,'Shultis Faw'!$A$2:$A$26,1)))*(INDEX('Shultis Faw'!$D$2:$D$26,MATCH($C806,'Shultis Faw'!$A$2:$A$26,1)+1)-INDEX('Shultis Faw'!$D$2:$D$26,MATCH($C806,'Shultis Faw'!$A$2:$A$26,1)))/(INDEX('Shultis Faw'!$A$2:$A$26,MATCH($C806,'Shultis Faw'!$A$2:$A$26,1)+1)-INDEX('Shultis Faw'!$A$2:$A$26,MATCH($C806,'Shultis Faw'!$A$2:$A$26,1))),$C806*'Shultis Faw'!$D$2/'Shultis Faw'!$A$2)</f>
        <v>1.663016</v>
      </c>
      <c r="K806" s="83">
        <f>_xlfn.IFNA(INDEX('Shultis Faw'!$B$2:$B$26,MATCH($C806,'Shultis Faw'!$A$2:$A$26,1))+($C806-INDEX('Shultis Faw'!$A$2:$A$26,MATCH($C806,'Shultis Faw'!$A$2:$A$26,1)))*(INDEX('Shultis Faw'!$B$2:$B$26,MATCH($C806,'Shultis Faw'!$A$2:$A$26,1)+1)-INDEX('Shultis Faw'!$B$2:$B$26,MATCH($C806,'Shultis Faw'!$A$2:$A$26,1)))/(INDEX('Shultis Faw'!$A$2:$A$26,MATCH($C806,'Shultis Faw'!$A$2:$A$26,1)+1)-INDEX('Shultis Faw'!$A$2:$A$26,MATCH($C806,'Shultis Faw'!$A$2:$A$26,1))),$C806*'Shultis Faw'!$B$2/'Shultis Faw'!$A$2)</f>
        <v>-0.12175040000000001</v>
      </c>
      <c r="L806" s="83">
        <f>_xlfn.IFNA(INDEX('Shultis Faw'!$E$2:$E$26,MATCH($C806,'Shultis Faw'!$A$2:$A$26,1))+($C806-INDEX('Shultis Faw'!$A$2:$A$26,MATCH($C806,'Shultis Faw'!$A$2:$A$26,1)))*(INDEX('Shultis Faw'!$E$2:$E$26,MATCH($C806,'Shultis Faw'!$A$2:$A$26,1)+1)-INDEX('Shultis Faw'!$E$2:$E$26,MATCH($C806,'Shultis Faw'!$A$2:$A$26,1)))/(INDEX('Shultis Faw'!$A$2:$A$26,MATCH($C806,'Shultis Faw'!$A$2:$A$26,1)+1)-INDEX('Shultis Faw'!$A$2:$A$26,MATCH($C806,'Shultis Faw'!$A$2:$A$26,1))),$C806*'Shultis Faw'!$E$2/'Shultis Faw'!$A$2)</f>
        <v>4.9518560000000003E-2</v>
      </c>
      <c r="M806" s="83">
        <f>_xlfn.IFNA(INDEX('Shultis Faw'!$F$2:$F$26,MATCH($C806,'Shultis Faw'!$A$2:$A$26,1))+($C806-INDEX('Shultis Faw'!$A$2:$A$26,MATCH($C806,'Shultis Faw'!$A$2:$A$26,1)))*(INDEX('Shultis Faw'!$F$2:$F$26,MATCH($C806,'Shultis Faw'!$A$2:$A$26,1)+1)-INDEX('Shultis Faw'!$F$2:$F$26,MATCH($C806,'Shultis Faw'!$A$2:$A$26,1)))/(INDEX('Shultis Faw'!$A$2:$A$26,MATCH($C806,'Shultis Faw'!$A$2:$A$26,1)+1)-INDEX('Shultis Faw'!$A$2:$A$26,MATCH($C806,'Shultis Faw'!$A$2:$A$26,1))),$C806*'Shultis Faw'!$F$2/'Shultis Faw'!$A$2)</f>
        <v>14.245392000000001</v>
      </c>
      <c r="N806" s="83">
        <f>J806*(H806*'Externe blootstelling'!$D$23/2)^K806+L806*(TANH(((H806*'Externe blootstelling'!$D$23)/(2*M806))-2)-TANH(-2))/(1-TANH(-2))</f>
        <v>1.6079155530629816</v>
      </c>
      <c r="O806" s="83">
        <f>IF(N806=1,1+(I806-1)*H806*'Externe blootstelling'!$D$23/2,1+(I806-1)*(N806^(H806*'Externe blootstelling'!$D$23/2)-1)/(N806-1))</f>
        <v>2.946893046730386</v>
      </c>
      <c r="P806" s="67">
        <f>G806*EXP(-H806*'Externe blootstelling'!$D$23/2)*O806</f>
        <v>2.1304032804243122E-4</v>
      </c>
      <c r="Q806" s="68"/>
    </row>
    <row r="807" spans="1:17" x14ac:dyDescent="0.2">
      <c r="A807" s="220"/>
      <c r="B807" s="64" t="s">
        <v>104</v>
      </c>
      <c r="C807" s="66">
        <v>0.63170000000000004</v>
      </c>
      <c r="D807" s="66">
        <f t="shared" si="52"/>
        <v>1.01072E-13</v>
      </c>
      <c r="E807" s="66">
        <v>3.9999999999999998E-6</v>
      </c>
      <c r="F807" s="66">
        <f>_xlfn.IFNA(INDEX('hp (pSv cm2)'!$B$2:$B$52,MATCH($C807,'hp (pSv cm2)'!$A$2:$A$52,1))+($C807-INDEX('hp (pSv cm2)'!$A$2:$A$52,MATCH($C807,'hp (pSv cm2)'!$A$2:$A$52,1)))*(INDEX('hp (pSv cm2)'!$B$2:$B$52,MATCH($C807,'hp (pSv cm2)'!$A$2:$A$52,1)+1)-INDEX('hp (pSv cm2)'!$B$2:$B$52,MATCH($C807,'hp (pSv cm2)'!$A$2:$A$52,1)))/(INDEX('hp (pSv cm2)'!$A$2:$A$52,MATCH($C807,'hp (pSv cm2)'!$A$2:$A$52,1)+1)-INDEX('hp (pSv cm2)'!$A$2:$A$52,MATCH($C807,'hp (pSv cm2)'!$A$2:$A$52,1))),$C807*'hp (pSv cm2)'!$B$2/'hp (pSv cm2)'!$A$2)</f>
        <v>3.0399700000000003</v>
      </c>
      <c r="G807" s="67">
        <f t="shared" si="53"/>
        <v>1.2159880000000001E-5</v>
      </c>
      <c r="H807" s="83">
        <f>_xlfn.IFNA(0.997*(INDEX('Mass attenuation coefficients'!$B$2:$B$37,MATCH($C807,'Mass attenuation coefficients'!$A$2:$A$37,1))+($C807-INDEX('Mass attenuation coefficients'!$A$2:$A$37,MATCH($C807,'Mass attenuation coefficients'!$A$2:$A$37,1)))*(INDEX('Mass attenuation coefficients'!$B$2:$B$37,MATCH($C807,'Mass attenuation coefficients'!$A$2:$A$37,1)+1)-INDEX('Mass attenuation coefficients'!$B$2:$B$37,MATCH($C807,'Mass attenuation coefficients'!$A$2:$A$37,1)))/(INDEX('Mass attenuation coefficients'!$A$2:$A$37,MATCH($C807,'Mass attenuation coefficients'!$A$2:$A$37,1)+1)-INDEX('Mass attenuation coefficients'!$A$2:$A$37,MATCH($C807,'Mass attenuation coefficients'!$A$2:$A$37,1)))),0.997*$C807*'Mass attenuation coefficients'!$B$2/'Mass attenuation coefficients'!$A$2)</f>
        <v>8.756727270499999E-2</v>
      </c>
      <c r="I807" s="83">
        <f>_xlfn.IFNA(INDEX('Shultis Faw'!$C$2:$C$26,MATCH($C807,'Shultis Faw'!$A$2:$A$26,1))+($C807-INDEX('Shultis Faw'!$A$2:$A$26,MATCH($C807,'Shultis Faw'!$A$2:$A$26,1)))*(INDEX('Shultis Faw'!$C$2:$C$26,MATCH($C807,'Shultis Faw'!$A$2:$A$26,1)+1)-INDEX('Shultis Faw'!$C$2:$C$26,MATCH($C807,'Shultis Faw'!$A$2:$A$26,1)))/(INDEX('Shultis Faw'!$A$2:$A$26,MATCH($C807,'Shultis Faw'!$A$2:$A$26,1)+1)-INDEX('Shultis Faw'!$A$2:$A$26,MATCH($C807,'Shultis Faw'!$A$2:$A$26,1))),$C807*'Shultis Faw'!$C$2/'Shultis Faw'!$A$2)</f>
        <v>2.3508475</v>
      </c>
      <c r="J807" s="83">
        <f>_xlfn.IFNA(INDEX('Shultis Faw'!$D$2:$D$26,MATCH($C807,'Shultis Faw'!$A$2:$A$26,1))+($C807-INDEX('Shultis Faw'!$A$2:$A$26,MATCH($C807,'Shultis Faw'!$A$2:$A$26,1)))*(INDEX('Shultis Faw'!$D$2:$D$26,MATCH($C807,'Shultis Faw'!$A$2:$A$26,1)+1)-INDEX('Shultis Faw'!$D$2:$D$26,MATCH($C807,'Shultis Faw'!$A$2:$A$26,1)))/(INDEX('Shultis Faw'!$A$2:$A$26,MATCH($C807,'Shultis Faw'!$A$2:$A$26,1)+1)-INDEX('Shultis Faw'!$A$2:$A$26,MATCH($C807,'Shultis Faw'!$A$2:$A$26,1))),$C807*'Shultis Faw'!$D$2/'Shultis Faw'!$A$2)</f>
        <v>1.6576025000000001</v>
      </c>
      <c r="K807" s="83">
        <f>_xlfn.IFNA(INDEX('Shultis Faw'!$B$2:$B$26,MATCH($C807,'Shultis Faw'!$A$2:$A$26,1))+($C807-INDEX('Shultis Faw'!$A$2:$A$26,MATCH($C807,'Shultis Faw'!$A$2:$A$26,1)))*(INDEX('Shultis Faw'!$B$2:$B$26,MATCH($C807,'Shultis Faw'!$A$2:$A$26,1)+1)-INDEX('Shultis Faw'!$B$2:$B$26,MATCH($C807,'Shultis Faw'!$A$2:$A$26,1)))/(INDEX('Shultis Faw'!$A$2:$A$26,MATCH($C807,'Shultis Faw'!$A$2:$A$26,1)+1)-INDEX('Shultis Faw'!$A$2:$A$26,MATCH($C807,'Shultis Faw'!$A$2:$A$26,1))),$C807*'Shultis Faw'!$B$2/'Shultis Faw'!$A$2)</f>
        <v>-0.1209885</v>
      </c>
      <c r="L807" s="83">
        <f>_xlfn.IFNA(INDEX('Shultis Faw'!$E$2:$E$26,MATCH($C807,'Shultis Faw'!$A$2:$A$26,1))+($C807-INDEX('Shultis Faw'!$A$2:$A$26,MATCH($C807,'Shultis Faw'!$A$2:$A$26,1)))*(INDEX('Shultis Faw'!$E$2:$E$26,MATCH($C807,'Shultis Faw'!$A$2:$A$26,1)+1)-INDEX('Shultis Faw'!$E$2:$E$26,MATCH($C807,'Shultis Faw'!$A$2:$A$26,1)))/(INDEX('Shultis Faw'!$A$2:$A$26,MATCH($C807,'Shultis Faw'!$A$2:$A$26,1)+1)-INDEX('Shultis Faw'!$A$2:$A$26,MATCH($C807,'Shultis Faw'!$A$2:$A$26,1))),$C807*'Shultis Faw'!$E$2/'Shultis Faw'!$A$2)</f>
        <v>4.9253899999999996E-2</v>
      </c>
      <c r="M807" s="83">
        <f>_xlfn.IFNA(INDEX('Shultis Faw'!$F$2:$F$26,MATCH($C807,'Shultis Faw'!$A$2:$A$26,1))+($C807-INDEX('Shultis Faw'!$A$2:$A$26,MATCH($C807,'Shultis Faw'!$A$2:$A$26,1)))*(INDEX('Shultis Faw'!$F$2:$F$26,MATCH($C807,'Shultis Faw'!$A$2:$A$26,1)+1)-INDEX('Shultis Faw'!$F$2:$F$26,MATCH($C807,'Shultis Faw'!$A$2:$A$26,1)))/(INDEX('Shultis Faw'!$A$2:$A$26,MATCH($C807,'Shultis Faw'!$A$2:$A$26,1)+1)-INDEX('Shultis Faw'!$A$2:$A$26,MATCH($C807,'Shultis Faw'!$A$2:$A$26,1))),$C807*'Shultis Faw'!$F$2/'Shultis Faw'!$A$2)</f>
        <v>14.250605</v>
      </c>
      <c r="N807" s="83">
        <f>J807*(H807*'Externe blootstelling'!$D$23/2)^K807+L807*(TANH(((H807*'Externe blootstelling'!$D$23)/(2*M807))-2)-TANH(-2))/(1-TANH(-2))</f>
        <v>1.6039829007201427</v>
      </c>
      <c r="O807" s="83">
        <f>IF(N807=1,1+(I807-1)*H807*'Externe blootstelling'!$D$23/2,1+(I807-1)*(N807^(H807*'Externe blootstelling'!$D$23/2)-1)/(N807-1))</f>
        <v>2.9236264054465066</v>
      </c>
      <c r="P807" s="67">
        <f>G807*EXP(-H807*'Externe blootstelling'!$D$23/2)*O807</f>
        <v>9.5587568586569315E-6</v>
      </c>
      <c r="Q807" s="68"/>
    </row>
    <row r="808" spans="1:17" x14ac:dyDescent="0.2">
      <c r="A808" s="220"/>
      <c r="B808" s="64" t="s">
        <v>104</v>
      </c>
      <c r="C808" s="66">
        <v>0.64170000000000005</v>
      </c>
      <c r="D808" s="66">
        <f t="shared" si="52"/>
        <v>1.02672E-13</v>
      </c>
      <c r="E808" s="66">
        <v>1.7E-5</v>
      </c>
      <c r="F808" s="66">
        <f>_xlfn.IFNA(INDEX('hp (pSv cm2)'!$B$2:$B$52,MATCH($C808,'hp (pSv cm2)'!$A$2:$A$52,1))+($C808-INDEX('hp (pSv cm2)'!$A$2:$A$52,MATCH($C808,'hp (pSv cm2)'!$A$2:$A$52,1)))*(INDEX('hp (pSv cm2)'!$B$2:$B$52,MATCH($C808,'hp (pSv cm2)'!$A$2:$A$52,1)+1)-INDEX('hp (pSv cm2)'!$B$2:$B$52,MATCH($C808,'hp (pSv cm2)'!$A$2:$A$52,1)))/(INDEX('hp (pSv cm2)'!$A$2:$A$52,MATCH($C808,'hp (pSv cm2)'!$A$2:$A$52,1)+1)-INDEX('hp (pSv cm2)'!$A$2:$A$52,MATCH($C808,'hp (pSv cm2)'!$A$2:$A$52,1))),$C808*'hp (pSv cm2)'!$B$2/'hp (pSv cm2)'!$A$2)</f>
        <v>3.0809700000000002</v>
      </c>
      <c r="G808" s="67">
        <f t="shared" si="53"/>
        <v>5.2376490000000002E-5</v>
      </c>
      <c r="H808" s="83">
        <f>_xlfn.IFNA(0.997*(INDEX('Mass attenuation coefficients'!$B$2:$B$37,MATCH($C808,'Mass attenuation coefficients'!$A$2:$A$37,1))+($C808-INDEX('Mass attenuation coefficients'!$A$2:$A$37,MATCH($C808,'Mass attenuation coefficients'!$A$2:$A$37,1)))*(INDEX('Mass attenuation coefficients'!$B$2:$B$37,MATCH($C808,'Mass attenuation coefficients'!$A$2:$A$37,1)+1)-INDEX('Mass attenuation coefficients'!$B$2:$B$37,MATCH($C808,'Mass attenuation coefficients'!$A$2:$A$37,1)))/(INDEX('Mass attenuation coefficients'!$A$2:$A$37,MATCH($C808,'Mass attenuation coefficients'!$A$2:$A$37,1)+1)-INDEX('Mass attenuation coefficients'!$A$2:$A$37,MATCH($C808,'Mass attenuation coefficients'!$A$2:$A$37,1)))),0.997*$C808*'Mass attenuation coefficients'!$B$2/'Mass attenuation coefficients'!$A$2)</f>
        <v>8.7023409204999999E-2</v>
      </c>
      <c r="I808" s="83">
        <f>_xlfn.IFNA(INDEX('Shultis Faw'!$C$2:$C$26,MATCH($C808,'Shultis Faw'!$A$2:$A$26,1))+($C808-INDEX('Shultis Faw'!$A$2:$A$26,MATCH($C808,'Shultis Faw'!$A$2:$A$26,1)))*(INDEX('Shultis Faw'!$C$2:$C$26,MATCH($C808,'Shultis Faw'!$A$2:$A$26,1)+1)-INDEX('Shultis Faw'!$C$2:$C$26,MATCH($C808,'Shultis Faw'!$A$2:$A$26,1)))/(INDEX('Shultis Faw'!$A$2:$A$26,MATCH($C808,'Shultis Faw'!$A$2:$A$26,1)+1)-INDEX('Shultis Faw'!$A$2:$A$26,MATCH($C808,'Shultis Faw'!$A$2:$A$26,1))),$C808*'Shultis Faw'!$C$2/'Shultis Faw'!$A$2)</f>
        <v>2.3425974999999997</v>
      </c>
      <c r="J808" s="83">
        <f>_xlfn.IFNA(INDEX('Shultis Faw'!$D$2:$D$26,MATCH($C808,'Shultis Faw'!$A$2:$A$26,1))+($C808-INDEX('Shultis Faw'!$A$2:$A$26,MATCH($C808,'Shultis Faw'!$A$2:$A$26,1)))*(INDEX('Shultis Faw'!$D$2:$D$26,MATCH($C808,'Shultis Faw'!$A$2:$A$26,1)+1)-INDEX('Shultis Faw'!$D$2:$D$26,MATCH($C808,'Shultis Faw'!$A$2:$A$26,1)))/(INDEX('Shultis Faw'!$A$2:$A$26,MATCH($C808,'Shultis Faw'!$A$2:$A$26,1)+1)-INDEX('Shultis Faw'!$A$2:$A$26,MATCH($C808,'Shultis Faw'!$A$2:$A$26,1))),$C808*'Shultis Faw'!$D$2/'Shultis Faw'!$A$2)</f>
        <v>1.6508525000000001</v>
      </c>
      <c r="K808" s="83">
        <f>_xlfn.IFNA(INDEX('Shultis Faw'!$B$2:$B$26,MATCH($C808,'Shultis Faw'!$A$2:$A$26,1))+($C808-INDEX('Shultis Faw'!$A$2:$A$26,MATCH($C808,'Shultis Faw'!$A$2:$A$26,1)))*(INDEX('Shultis Faw'!$B$2:$B$26,MATCH($C808,'Shultis Faw'!$A$2:$A$26,1)+1)-INDEX('Shultis Faw'!$B$2:$B$26,MATCH($C808,'Shultis Faw'!$A$2:$A$26,1)))/(INDEX('Shultis Faw'!$A$2:$A$26,MATCH($C808,'Shultis Faw'!$A$2:$A$26,1)+1)-INDEX('Shultis Faw'!$A$2:$A$26,MATCH($C808,'Shultis Faw'!$A$2:$A$26,1))),$C808*'Shultis Faw'!$B$2/'Shultis Faw'!$A$2)</f>
        <v>-0.12003849999999999</v>
      </c>
      <c r="L808" s="83">
        <f>_xlfn.IFNA(INDEX('Shultis Faw'!$E$2:$E$26,MATCH($C808,'Shultis Faw'!$A$2:$A$26,1))+($C808-INDEX('Shultis Faw'!$A$2:$A$26,MATCH($C808,'Shultis Faw'!$A$2:$A$26,1)))*(INDEX('Shultis Faw'!$E$2:$E$26,MATCH($C808,'Shultis Faw'!$A$2:$A$26,1)+1)-INDEX('Shultis Faw'!$E$2:$E$26,MATCH($C808,'Shultis Faw'!$A$2:$A$26,1)))/(INDEX('Shultis Faw'!$A$2:$A$26,MATCH($C808,'Shultis Faw'!$A$2:$A$26,1)+1)-INDEX('Shultis Faw'!$A$2:$A$26,MATCH($C808,'Shultis Faw'!$A$2:$A$26,1))),$C808*'Shultis Faw'!$E$2/'Shultis Faw'!$A$2)</f>
        <v>4.8923899999999999E-2</v>
      </c>
      <c r="M808" s="83">
        <f>_xlfn.IFNA(INDEX('Shultis Faw'!$F$2:$F$26,MATCH($C808,'Shultis Faw'!$A$2:$A$26,1))+($C808-INDEX('Shultis Faw'!$A$2:$A$26,MATCH($C808,'Shultis Faw'!$A$2:$A$26,1)))*(INDEX('Shultis Faw'!$F$2:$F$26,MATCH($C808,'Shultis Faw'!$A$2:$A$26,1)+1)-INDEX('Shultis Faw'!$F$2:$F$26,MATCH($C808,'Shultis Faw'!$A$2:$A$26,1)))/(INDEX('Shultis Faw'!$A$2:$A$26,MATCH($C808,'Shultis Faw'!$A$2:$A$26,1)+1)-INDEX('Shultis Faw'!$A$2:$A$26,MATCH($C808,'Shultis Faw'!$A$2:$A$26,1))),$C808*'Shultis Faw'!$F$2/'Shultis Faw'!$A$2)</f>
        <v>14.257105000000001</v>
      </c>
      <c r="N808" s="83">
        <f>J808*(H808*'Externe blootstelling'!$D$23/2)^K808+L808*(TANH(((H808*'Externe blootstelling'!$D$23)/(2*M808))-2)-TANH(-2))/(1-TANH(-2))</f>
        <v>1.5990586376385627</v>
      </c>
      <c r="O808" s="83">
        <f>IF(N808=1,1+(I808-1)*H808*'Externe blootstelling'!$D$23/2,1+(I808-1)*(N808^(H808*'Externe blootstelling'!$D$23/2)-1)/(N808-1))</f>
        <v>2.8949220159444491</v>
      </c>
      <c r="P808" s="67">
        <f>G808*EXP(-H808*'Externe blootstelling'!$D$23/2)*O808</f>
        <v>4.1102332084778147E-5</v>
      </c>
      <c r="Q808" s="68"/>
    </row>
    <row r="809" spans="1:17" x14ac:dyDescent="0.2">
      <c r="A809" s="220"/>
      <c r="B809" s="64" t="s">
        <v>104</v>
      </c>
      <c r="C809" s="66">
        <v>0.64610000000000001</v>
      </c>
      <c r="D809" s="66">
        <f t="shared" si="52"/>
        <v>1.03376E-13</v>
      </c>
      <c r="E809" s="66">
        <v>3.9999999999999998E-6</v>
      </c>
      <c r="F809" s="66">
        <f>_xlfn.IFNA(INDEX('hp (pSv cm2)'!$B$2:$B$52,MATCH($C809,'hp (pSv cm2)'!$A$2:$A$52,1))+($C809-INDEX('hp (pSv cm2)'!$A$2:$A$52,MATCH($C809,'hp (pSv cm2)'!$A$2:$A$52,1)))*(INDEX('hp (pSv cm2)'!$B$2:$B$52,MATCH($C809,'hp (pSv cm2)'!$A$2:$A$52,1)+1)-INDEX('hp (pSv cm2)'!$B$2:$B$52,MATCH($C809,'hp (pSv cm2)'!$A$2:$A$52,1)))/(INDEX('hp (pSv cm2)'!$A$2:$A$52,MATCH($C809,'hp (pSv cm2)'!$A$2:$A$52,1)+1)-INDEX('hp (pSv cm2)'!$A$2:$A$52,MATCH($C809,'hp (pSv cm2)'!$A$2:$A$52,1))),$C809*'hp (pSv cm2)'!$B$2/'hp (pSv cm2)'!$A$2)</f>
        <v>3.0990100000000003</v>
      </c>
      <c r="G809" s="67">
        <f t="shared" si="53"/>
        <v>1.2396040000000001E-5</v>
      </c>
      <c r="H809" s="83">
        <f>_xlfn.IFNA(0.997*(INDEX('Mass attenuation coefficients'!$B$2:$B$37,MATCH($C809,'Mass attenuation coefficients'!$A$2:$A$37,1))+($C809-INDEX('Mass attenuation coefficients'!$A$2:$A$37,MATCH($C809,'Mass attenuation coefficients'!$A$2:$A$37,1)))*(INDEX('Mass attenuation coefficients'!$B$2:$B$37,MATCH($C809,'Mass attenuation coefficients'!$A$2:$A$37,1)+1)-INDEX('Mass attenuation coefficients'!$B$2:$B$37,MATCH($C809,'Mass attenuation coefficients'!$A$2:$A$37,1)))/(INDEX('Mass attenuation coefficients'!$A$2:$A$37,MATCH($C809,'Mass attenuation coefficients'!$A$2:$A$37,1)+1)-INDEX('Mass attenuation coefficients'!$A$2:$A$37,MATCH($C809,'Mass attenuation coefficients'!$A$2:$A$37,1)))),0.997*$C809*'Mass attenuation coefficients'!$B$2/'Mass attenuation coefficients'!$A$2)</f>
        <v>8.6784109264999992E-2</v>
      </c>
      <c r="I809" s="83">
        <f>_xlfn.IFNA(INDEX('Shultis Faw'!$C$2:$C$26,MATCH($C809,'Shultis Faw'!$A$2:$A$26,1))+($C809-INDEX('Shultis Faw'!$A$2:$A$26,MATCH($C809,'Shultis Faw'!$A$2:$A$26,1)))*(INDEX('Shultis Faw'!$C$2:$C$26,MATCH($C809,'Shultis Faw'!$A$2:$A$26,1)+1)-INDEX('Shultis Faw'!$C$2:$C$26,MATCH($C809,'Shultis Faw'!$A$2:$A$26,1)))/(INDEX('Shultis Faw'!$A$2:$A$26,MATCH($C809,'Shultis Faw'!$A$2:$A$26,1)+1)-INDEX('Shultis Faw'!$A$2:$A$26,MATCH($C809,'Shultis Faw'!$A$2:$A$26,1))),$C809*'Shultis Faw'!$C$2/'Shultis Faw'!$A$2)</f>
        <v>2.3389674999999999</v>
      </c>
      <c r="J809" s="83">
        <f>_xlfn.IFNA(INDEX('Shultis Faw'!$D$2:$D$26,MATCH($C809,'Shultis Faw'!$A$2:$A$26,1))+($C809-INDEX('Shultis Faw'!$A$2:$A$26,MATCH($C809,'Shultis Faw'!$A$2:$A$26,1)))*(INDEX('Shultis Faw'!$D$2:$D$26,MATCH($C809,'Shultis Faw'!$A$2:$A$26,1)+1)-INDEX('Shultis Faw'!$D$2:$D$26,MATCH($C809,'Shultis Faw'!$A$2:$A$26,1)))/(INDEX('Shultis Faw'!$A$2:$A$26,MATCH($C809,'Shultis Faw'!$A$2:$A$26,1)+1)-INDEX('Shultis Faw'!$A$2:$A$26,MATCH($C809,'Shultis Faw'!$A$2:$A$26,1))),$C809*'Shultis Faw'!$D$2/'Shultis Faw'!$A$2)</f>
        <v>1.6478825000000001</v>
      </c>
      <c r="K809" s="83">
        <f>_xlfn.IFNA(INDEX('Shultis Faw'!$B$2:$B$26,MATCH($C809,'Shultis Faw'!$A$2:$A$26,1))+($C809-INDEX('Shultis Faw'!$A$2:$A$26,MATCH($C809,'Shultis Faw'!$A$2:$A$26,1)))*(INDEX('Shultis Faw'!$B$2:$B$26,MATCH($C809,'Shultis Faw'!$A$2:$A$26,1)+1)-INDEX('Shultis Faw'!$B$2:$B$26,MATCH($C809,'Shultis Faw'!$A$2:$A$26,1)))/(INDEX('Shultis Faw'!$A$2:$A$26,MATCH($C809,'Shultis Faw'!$A$2:$A$26,1)+1)-INDEX('Shultis Faw'!$A$2:$A$26,MATCH($C809,'Shultis Faw'!$A$2:$A$26,1))),$C809*'Shultis Faw'!$B$2/'Shultis Faw'!$A$2)</f>
        <v>-0.11962049999999999</v>
      </c>
      <c r="L809" s="83">
        <f>_xlfn.IFNA(INDEX('Shultis Faw'!$E$2:$E$26,MATCH($C809,'Shultis Faw'!$A$2:$A$26,1))+($C809-INDEX('Shultis Faw'!$A$2:$A$26,MATCH($C809,'Shultis Faw'!$A$2:$A$26,1)))*(INDEX('Shultis Faw'!$E$2:$E$26,MATCH($C809,'Shultis Faw'!$A$2:$A$26,1)+1)-INDEX('Shultis Faw'!$E$2:$E$26,MATCH($C809,'Shultis Faw'!$A$2:$A$26,1)))/(INDEX('Shultis Faw'!$A$2:$A$26,MATCH($C809,'Shultis Faw'!$A$2:$A$26,1)+1)-INDEX('Shultis Faw'!$A$2:$A$26,MATCH($C809,'Shultis Faw'!$A$2:$A$26,1))),$C809*'Shultis Faw'!$E$2/'Shultis Faw'!$A$2)</f>
        <v>4.8778700000000001E-2</v>
      </c>
      <c r="M809" s="83">
        <f>_xlfn.IFNA(INDEX('Shultis Faw'!$F$2:$F$26,MATCH($C809,'Shultis Faw'!$A$2:$A$26,1))+($C809-INDEX('Shultis Faw'!$A$2:$A$26,MATCH($C809,'Shultis Faw'!$A$2:$A$26,1)))*(INDEX('Shultis Faw'!$F$2:$F$26,MATCH($C809,'Shultis Faw'!$A$2:$A$26,1)+1)-INDEX('Shultis Faw'!$F$2:$F$26,MATCH($C809,'Shultis Faw'!$A$2:$A$26,1)))/(INDEX('Shultis Faw'!$A$2:$A$26,MATCH($C809,'Shultis Faw'!$A$2:$A$26,1)+1)-INDEX('Shultis Faw'!$A$2:$A$26,MATCH($C809,'Shultis Faw'!$A$2:$A$26,1))),$C809*'Shultis Faw'!$F$2/'Shultis Faw'!$A$2)</f>
        <v>14.259964999999999</v>
      </c>
      <c r="N809" s="83">
        <f>J809*(H809*'Externe blootstelling'!$D$23/2)^K809+L809*(TANH(((H809*'Externe blootstelling'!$D$23)/(2*M809))-2)-TANH(-2))/(1-TANH(-2))</f>
        <v>1.5968846821097735</v>
      </c>
      <c r="O809" s="83">
        <f>IF(N809=1,1+(I809-1)*H809*'Externe blootstelling'!$D$23/2,1+(I809-1)*(N809^(H809*'Externe blootstelling'!$D$23/2)-1)/(N809-1))</f>
        <v>2.8823989490309496</v>
      </c>
      <c r="P809" s="67">
        <f>G809*EXP(-H809*'Externe blootstelling'!$D$23/2)*O809</f>
        <v>9.7205125020274195E-6</v>
      </c>
      <c r="Q809" s="68"/>
    </row>
    <row r="810" spans="1:17" x14ac:dyDescent="0.2">
      <c r="A810" s="220"/>
      <c r="B810" s="64" t="s">
        <v>104</v>
      </c>
      <c r="C810" s="66">
        <v>0.69689999999999996</v>
      </c>
      <c r="D810" s="66">
        <f t="shared" si="52"/>
        <v>1.1150399999999999E-13</v>
      </c>
      <c r="E810" s="66">
        <v>6.9999999999999999E-6</v>
      </c>
      <c r="F810" s="66">
        <f>_xlfn.IFNA(INDEX('hp (pSv cm2)'!$B$2:$B$52,MATCH($C810,'hp (pSv cm2)'!$A$2:$A$52,1))+($C810-INDEX('hp (pSv cm2)'!$A$2:$A$52,MATCH($C810,'hp (pSv cm2)'!$A$2:$A$52,1)))*(INDEX('hp (pSv cm2)'!$B$2:$B$52,MATCH($C810,'hp (pSv cm2)'!$A$2:$A$52,1)+1)-INDEX('hp (pSv cm2)'!$B$2:$B$52,MATCH($C810,'hp (pSv cm2)'!$A$2:$A$52,1)))/(INDEX('hp (pSv cm2)'!$A$2:$A$52,MATCH($C810,'hp (pSv cm2)'!$A$2:$A$52,1)+1)-INDEX('hp (pSv cm2)'!$A$2:$A$52,MATCH($C810,'hp (pSv cm2)'!$A$2:$A$52,1))),$C810*'hp (pSv cm2)'!$B$2/'hp (pSv cm2)'!$A$2)</f>
        <v>3.3072900000000001</v>
      </c>
      <c r="G810" s="67">
        <f t="shared" si="53"/>
        <v>2.3151030000000001E-5</v>
      </c>
      <c r="H810" s="83">
        <f>_xlfn.IFNA(0.997*(INDEX('Mass attenuation coefficients'!$B$2:$B$37,MATCH($C810,'Mass attenuation coefficients'!$A$2:$A$37,1))+($C810-INDEX('Mass attenuation coefficients'!$A$2:$A$37,MATCH($C810,'Mass attenuation coefficients'!$A$2:$A$37,1)))*(INDEX('Mass attenuation coefficients'!$B$2:$B$37,MATCH($C810,'Mass attenuation coefficients'!$A$2:$A$37,1)+1)-INDEX('Mass attenuation coefficients'!$B$2:$B$37,MATCH($C810,'Mass attenuation coefficients'!$A$2:$A$37,1)))/(INDEX('Mass attenuation coefficients'!$A$2:$A$37,MATCH($C810,'Mass attenuation coefficients'!$A$2:$A$37,1)+1)-INDEX('Mass attenuation coefficients'!$A$2:$A$37,MATCH($C810,'Mass attenuation coefficients'!$A$2:$A$37,1)))),0.997*$C810*'Mass attenuation coefficients'!$B$2/'Mass attenuation coefficients'!$A$2)</f>
        <v>8.4021282685000004E-2</v>
      </c>
      <c r="I810" s="83">
        <f>_xlfn.IFNA(INDEX('Shultis Faw'!$C$2:$C$26,MATCH($C810,'Shultis Faw'!$A$2:$A$26,1))+($C810-INDEX('Shultis Faw'!$A$2:$A$26,MATCH($C810,'Shultis Faw'!$A$2:$A$26,1)))*(INDEX('Shultis Faw'!$C$2:$C$26,MATCH($C810,'Shultis Faw'!$A$2:$A$26,1)+1)-INDEX('Shultis Faw'!$C$2:$C$26,MATCH($C810,'Shultis Faw'!$A$2:$A$26,1)))/(INDEX('Shultis Faw'!$A$2:$A$26,MATCH($C810,'Shultis Faw'!$A$2:$A$26,1)+1)-INDEX('Shultis Faw'!$A$2:$A$26,MATCH($C810,'Shultis Faw'!$A$2:$A$26,1))),$C810*'Shultis Faw'!$C$2/'Shultis Faw'!$A$2)</f>
        <v>2.2970575000000002</v>
      </c>
      <c r="J810" s="83">
        <f>_xlfn.IFNA(INDEX('Shultis Faw'!$D$2:$D$26,MATCH($C810,'Shultis Faw'!$A$2:$A$26,1))+($C810-INDEX('Shultis Faw'!$A$2:$A$26,MATCH($C810,'Shultis Faw'!$A$2:$A$26,1)))*(INDEX('Shultis Faw'!$D$2:$D$26,MATCH($C810,'Shultis Faw'!$A$2:$A$26,1)+1)-INDEX('Shultis Faw'!$D$2:$D$26,MATCH($C810,'Shultis Faw'!$A$2:$A$26,1)))/(INDEX('Shultis Faw'!$A$2:$A$26,MATCH($C810,'Shultis Faw'!$A$2:$A$26,1)+1)-INDEX('Shultis Faw'!$A$2:$A$26,MATCH($C810,'Shultis Faw'!$A$2:$A$26,1))),$C810*'Shultis Faw'!$D$2/'Shultis Faw'!$A$2)</f>
        <v>1.6135925</v>
      </c>
      <c r="K810" s="83">
        <f>_xlfn.IFNA(INDEX('Shultis Faw'!$B$2:$B$26,MATCH($C810,'Shultis Faw'!$A$2:$A$26,1))+($C810-INDEX('Shultis Faw'!$A$2:$A$26,MATCH($C810,'Shultis Faw'!$A$2:$A$26,1)))*(INDEX('Shultis Faw'!$B$2:$B$26,MATCH($C810,'Shultis Faw'!$A$2:$A$26,1)+1)-INDEX('Shultis Faw'!$B$2:$B$26,MATCH($C810,'Shultis Faw'!$A$2:$A$26,1)))/(INDEX('Shultis Faw'!$A$2:$A$26,MATCH($C810,'Shultis Faw'!$A$2:$A$26,1)+1)-INDEX('Shultis Faw'!$A$2:$A$26,MATCH($C810,'Shultis Faw'!$A$2:$A$26,1))),$C810*'Shultis Faw'!$B$2/'Shultis Faw'!$A$2)</f>
        <v>-0.11479450000000001</v>
      </c>
      <c r="L810" s="83">
        <f>_xlfn.IFNA(INDEX('Shultis Faw'!$E$2:$E$26,MATCH($C810,'Shultis Faw'!$A$2:$A$26,1))+($C810-INDEX('Shultis Faw'!$A$2:$A$26,MATCH($C810,'Shultis Faw'!$A$2:$A$26,1)))*(INDEX('Shultis Faw'!$E$2:$E$26,MATCH($C810,'Shultis Faw'!$A$2:$A$26,1)+1)-INDEX('Shultis Faw'!$E$2:$E$26,MATCH($C810,'Shultis Faw'!$A$2:$A$26,1)))/(INDEX('Shultis Faw'!$A$2:$A$26,MATCH($C810,'Shultis Faw'!$A$2:$A$26,1)+1)-INDEX('Shultis Faw'!$A$2:$A$26,MATCH($C810,'Shultis Faw'!$A$2:$A$26,1))),$C810*'Shultis Faw'!$E$2/'Shultis Faw'!$A$2)</f>
        <v>4.71023E-2</v>
      </c>
      <c r="M810" s="83">
        <f>_xlfn.IFNA(INDEX('Shultis Faw'!$F$2:$F$26,MATCH($C810,'Shultis Faw'!$A$2:$A$26,1))+($C810-INDEX('Shultis Faw'!$A$2:$A$26,MATCH($C810,'Shultis Faw'!$A$2:$A$26,1)))*(INDEX('Shultis Faw'!$F$2:$F$26,MATCH($C810,'Shultis Faw'!$A$2:$A$26,1)+1)-INDEX('Shultis Faw'!$F$2:$F$26,MATCH($C810,'Shultis Faw'!$A$2:$A$26,1)))/(INDEX('Shultis Faw'!$A$2:$A$26,MATCH($C810,'Shultis Faw'!$A$2:$A$26,1)+1)-INDEX('Shultis Faw'!$A$2:$A$26,MATCH($C810,'Shultis Faw'!$A$2:$A$26,1))),$C810*'Shultis Faw'!$F$2/'Shultis Faw'!$A$2)</f>
        <v>14.292985</v>
      </c>
      <c r="N810" s="83">
        <f>J810*(H810*'Externe blootstelling'!$D$23/2)^K810+L810*(TANH(((H810*'Externe blootstelling'!$D$23)/(2*M810))-2)-TANH(-2))/(1-TANH(-2))</f>
        <v>1.5714633313039617</v>
      </c>
      <c r="O810" s="83">
        <f>IF(N810=1,1+(I810-1)*H810*'Externe blootstelling'!$D$23/2,1+(I810-1)*(N810^(H810*'Externe blootstelling'!$D$23/2)-1)/(N810-1))</f>
        <v>2.7424348966915524</v>
      </c>
      <c r="P810" s="67">
        <f>G810*EXP(-H810*'Externe blootstelling'!$D$23/2)*O810</f>
        <v>1.8003500404766466E-5</v>
      </c>
      <c r="Q810" s="68"/>
    </row>
    <row r="811" spans="1:17" x14ac:dyDescent="0.2">
      <c r="A811" s="220"/>
      <c r="B811" s="64" t="s">
        <v>104</v>
      </c>
      <c r="C811" s="66">
        <v>0.71129999999999993</v>
      </c>
      <c r="D811" s="66">
        <f t="shared" si="52"/>
        <v>1.1380799999999998E-13</v>
      </c>
      <c r="E811" s="66">
        <v>3.7000000000000005E-5</v>
      </c>
      <c r="F811" s="66">
        <f>_xlfn.IFNA(INDEX('hp (pSv cm2)'!$B$2:$B$52,MATCH($C811,'hp (pSv cm2)'!$A$2:$A$52,1))+($C811-INDEX('hp (pSv cm2)'!$A$2:$A$52,MATCH($C811,'hp (pSv cm2)'!$A$2:$A$52,1)))*(INDEX('hp (pSv cm2)'!$B$2:$B$52,MATCH($C811,'hp (pSv cm2)'!$A$2:$A$52,1)+1)-INDEX('hp (pSv cm2)'!$B$2:$B$52,MATCH($C811,'hp (pSv cm2)'!$A$2:$A$52,1)))/(INDEX('hp (pSv cm2)'!$A$2:$A$52,MATCH($C811,'hp (pSv cm2)'!$A$2:$A$52,1)+1)-INDEX('hp (pSv cm2)'!$A$2:$A$52,MATCH($C811,'hp (pSv cm2)'!$A$2:$A$52,1))),$C811*'hp (pSv cm2)'!$B$2/'hp (pSv cm2)'!$A$2)</f>
        <v>3.3663299999999996</v>
      </c>
      <c r="G811" s="67">
        <f t="shared" si="53"/>
        <v>1.2455421E-4</v>
      </c>
      <c r="H811" s="83">
        <f>_xlfn.IFNA(0.997*(INDEX('Mass attenuation coefficients'!$B$2:$B$37,MATCH($C811,'Mass attenuation coefficients'!$A$2:$A$37,1))+($C811-INDEX('Mass attenuation coefficients'!$A$2:$A$37,MATCH($C811,'Mass attenuation coefficients'!$A$2:$A$37,1)))*(INDEX('Mass attenuation coefficients'!$B$2:$B$37,MATCH($C811,'Mass attenuation coefficients'!$A$2:$A$37,1)+1)-INDEX('Mass attenuation coefficients'!$B$2:$B$37,MATCH($C811,'Mass attenuation coefficients'!$A$2:$A$37,1)))/(INDEX('Mass attenuation coefficients'!$A$2:$A$37,MATCH($C811,'Mass attenuation coefficients'!$A$2:$A$37,1)+1)-INDEX('Mass attenuation coefficients'!$A$2:$A$37,MATCH($C811,'Mass attenuation coefficients'!$A$2:$A$37,1)))),0.997*$C811*'Mass attenuation coefficients'!$B$2/'Mass attenuation coefficients'!$A$2)</f>
        <v>8.3238119245000006E-2</v>
      </c>
      <c r="I811" s="83">
        <f>_xlfn.IFNA(INDEX('Shultis Faw'!$C$2:$C$26,MATCH($C811,'Shultis Faw'!$A$2:$A$26,1))+($C811-INDEX('Shultis Faw'!$A$2:$A$26,MATCH($C811,'Shultis Faw'!$A$2:$A$26,1)))*(INDEX('Shultis Faw'!$C$2:$C$26,MATCH($C811,'Shultis Faw'!$A$2:$A$26,1)+1)-INDEX('Shultis Faw'!$C$2:$C$26,MATCH($C811,'Shultis Faw'!$A$2:$A$26,1)))/(INDEX('Shultis Faw'!$A$2:$A$26,MATCH($C811,'Shultis Faw'!$A$2:$A$26,1)+1)-INDEX('Shultis Faw'!$A$2:$A$26,MATCH($C811,'Shultis Faw'!$A$2:$A$26,1))),$C811*'Shultis Faw'!$C$2/'Shultis Faw'!$A$2)</f>
        <v>2.2851775000000001</v>
      </c>
      <c r="J811" s="83">
        <f>_xlfn.IFNA(INDEX('Shultis Faw'!$D$2:$D$26,MATCH($C811,'Shultis Faw'!$A$2:$A$26,1))+($C811-INDEX('Shultis Faw'!$A$2:$A$26,MATCH($C811,'Shultis Faw'!$A$2:$A$26,1)))*(INDEX('Shultis Faw'!$D$2:$D$26,MATCH($C811,'Shultis Faw'!$A$2:$A$26,1)+1)-INDEX('Shultis Faw'!$D$2:$D$26,MATCH($C811,'Shultis Faw'!$A$2:$A$26,1)))/(INDEX('Shultis Faw'!$A$2:$A$26,MATCH($C811,'Shultis Faw'!$A$2:$A$26,1)+1)-INDEX('Shultis Faw'!$A$2:$A$26,MATCH($C811,'Shultis Faw'!$A$2:$A$26,1))),$C811*'Shultis Faw'!$D$2/'Shultis Faw'!$A$2)</f>
        <v>1.6038725</v>
      </c>
      <c r="K811" s="83">
        <f>_xlfn.IFNA(INDEX('Shultis Faw'!$B$2:$B$26,MATCH($C811,'Shultis Faw'!$A$2:$A$26,1))+($C811-INDEX('Shultis Faw'!$A$2:$A$26,MATCH($C811,'Shultis Faw'!$A$2:$A$26,1)))*(INDEX('Shultis Faw'!$B$2:$B$26,MATCH($C811,'Shultis Faw'!$A$2:$A$26,1)+1)-INDEX('Shultis Faw'!$B$2:$B$26,MATCH($C811,'Shultis Faw'!$A$2:$A$26,1)))/(INDEX('Shultis Faw'!$A$2:$A$26,MATCH($C811,'Shultis Faw'!$A$2:$A$26,1)+1)-INDEX('Shultis Faw'!$A$2:$A$26,MATCH($C811,'Shultis Faw'!$A$2:$A$26,1))),$C811*'Shultis Faw'!$B$2/'Shultis Faw'!$A$2)</f>
        <v>-0.11342650000000001</v>
      </c>
      <c r="L811" s="83">
        <f>_xlfn.IFNA(INDEX('Shultis Faw'!$E$2:$E$26,MATCH($C811,'Shultis Faw'!$A$2:$A$26,1))+($C811-INDEX('Shultis Faw'!$A$2:$A$26,MATCH($C811,'Shultis Faw'!$A$2:$A$26,1)))*(INDEX('Shultis Faw'!$E$2:$E$26,MATCH($C811,'Shultis Faw'!$A$2:$A$26,1)+1)-INDEX('Shultis Faw'!$E$2:$E$26,MATCH($C811,'Shultis Faw'!$A$2:$A$26,1)))/(INDEX('Shultis Faw'!$A$2:$A$26,MATCH($C811,'Shultis Faw'!$A$2:$A$26,1)+1)-INDEX('Shultis Faw'!$A$2:$A$26,MATCH($C811,'Shultis Faw'!$A$2:$A$26,1))),$C811*'Shultis Faw'!$E$2/'Shultis Faw'!$A$2)</f>
        <v>4.6627100000000005E-2</v>
      </c>
      <c r="M811" s="83">
        <f>_xlfn.IFNA(INDEX('Shultis Faw'!$F$2:$F$26,MATCH($C811,'Shultis Faw'!$A$2:$A$26,1))+($C811-INDEX('Shultis Faw'!$A$2:$A$26,MATCH($C811,'Shultis Faw'!$A$2:$A$26,1)))*(INDEX('Shultis Faw'!$F$2:$F$26,MATCH($C811,'Shultis Faw'!$A$2:$A$26,1)+1)-INDEX('Shultis Faw'!$F$2:$F$26,MATCH($C811,'Shultis Faw'!$A$2:$A$26,1)))/(INDEX('Shultis Faw'!$A$2:$A$26,MATCH($C811,'Shultis Faw'!$A$2:$A$26,1)+1)-INDEX('Shultis Faw'!$A$2:$A$26,MATCH($C811,'Shultis Faw'!$A$2:$A$26,1))),$C811*'Shultis Faw'!$F$2/'Shultis Faw'!$A$2)</f>
        <v>14.302344999999999</v>
      </c>
      <c r="N811" s="83">
        <f>J811*(H811*'Externe blootstelling'!$D$23/2)^K811+L811*(TANH(((H811*'Externe blootstelling'!$D$23)/(2*M811))-2)-TANH(-2))/(1-TANH(-2))</f>
        <v>1.5641495144066364</v>
      </c>
      <c r="O811" s="83">
        <f>IF(N811=1,1+(I811-1)*H811*'Externe blootstelling'!$D$23/2,1+(I811-1)*(N811^(H811*'Externe blootstelling'!$D$23/2)-1)/(N811-1))</f>
        <v>2.7042688249904807</v>
      </c>
      <c r="P811" s="67">
        <f>G811*EXP(-H811*'Externe blootstelling'!$D$23/2)*O811</f>
        <v>9.6640781890989234E-5</v>
      </c>
      <c r="Q811" s="68"/>
    </row>
    <row r="812" spans="1:17" x14ac:dyDescent="0.2">
      <c r="A812" s="220"/>
      <c r="B812" s="64" t="s">
        <v>104</v>
      </c>
      <c r="C812" s="66">
        <v>0.71839999999999993</v>
      </c>
      <c r="D812" s="66">
        <f t="shared" si="52"/>
        <v>1.1494399999999997E-13</v>
      </c>
      <c r="E812" s="66">
        <v>1.4E-5</v>
      </c>
      <c r="F812" s="66">
        <f>_xlfn.IFNA(INDEX('hp (pSv cm2)'!$B$2:$B$52,MATCH($C812,'hp (pSv cm2)'!$A$2:$A$52,1))+($C812-INDEX('hp (pSv cm2)'!$A$2:$A$52,MATCH($C812,'hp (pSv cm2)'!$A$2:$A$52,1)))*(INDEX('hp (pSv cm2)'!$B$2:$B$52,MATCH($C812,'hp (pSv cm2)'!$A$2:$A$52,1)+1)-INDEX('hp (pSv cm2)'!$B$2:$B$52,MATCH($C812,'hp (pSv cm2)'!$A$2:$A$52,1)))/(INDEX('hp (pSv cm2)'!$A$2:$A$52,MATCH($C812,'hp (pSv cm2)'!$A$2:$A$52,1)+1)-INDEX('hp (pSv cm2)'!$A$2:$A$52,MATCH($C812,'hp (pSv cm2)'!$A$2:$A$52,1))),$C812*'hp (pSv cm2)'!$B$2/'hp (pSv cm2)'!$A$2)</f>
        <v>3.3954399999999998</v>
      </c>
      <c r="G812" s="67">
        <f t="shared" si="53"/>
        <v>4.7536159999999998E-5</v>
      </c>
      <c r="H812" s="83">
        <f>_xlfn.IFNA(0.997*(INDEX('Mass attenuation coefficients'!$B$2:$B$37,MATCH($C812,'Mass attenuation coefficients'!$A$2:$A$37,1))+($C812-INDEX('Mass attenuation coefficients'!$A$2:$A$37,MATCH($C812,'Mass attenuation coefficients'!$A$2:$A$37,1)))*(INDEX('Mass attenuation coefficients'!$B$2:$B$37,MATCH($C812,'Mass attenuation coefficients'!$A$2:$A$37,1)+1)-INDEX('Mass attenuation coefficients'!$B$2:$B$37,MATCH($C812,'Mass attenuation coefficients'!$A$2:$A$37,1)))/(INDEX('Mass attenuation coefficients'!$A$2:$A$37,MATCH($C812,'Mass attenuation coefficients'!$A$2:$A$37,1)+1)-INDEX('Mass attenuation coefficients'!$A$2:$A$37,MATCH($C812,'Mass attenuation coefficients'!$A$2:$A$37,1)))),0.997*$C812*'Mass attenuation coefficients'!$B$2/'Mass attenuation coefficients'!$A$2)</f>
        <v>8.2851976159999993E-2</v>
      </c>
      <c r="I812" s="83">
        <f>_xlfn.IFNA(INDEX('Shultis Faw'!$C$2:$C$26,MATCH($C812,'Shultis Faw'!$A$2:$A$26,1))+($C812-INDEX('Shultis Faw'!$A$2:$A$26,MATCH($C812,'Shultis Faw'!$A$2:$A$26,1)))*(INDEX('Shultis Faw'!$C$2:$C$26,MATCH($C812,'Shultis Faw'!$A$2:$A$26,1)+1)-INDEX('Shultis Faw'!$C$2:$C$26,MATCH($C812,'Shultis Faw'!$A$2:$A$26,1)))/(INDEX('Shultis Faw'!$A$2:$A$26,MATCH($C812,'Shultis Faw'!$A$2:$A$26,1)+1)-INDEX('Shultis Faw'!$A$2:$A$26,MATCH($C812,'Shultis Faw'!$A$2:$A$26,1))),$C812*'Shultis Faw'!$C$2/'Shultis Faw'!$A$2)</f>
        <v>2.2793200000000002</v>
      </c>
      <c r="J812" s="83">
        <f>_xlfn.IFNA(INDEX('Shultis Faw'!$D$2:$D$26,MATCH($C812,'Shultis Faw'!$A$2:$A$26,1))+($C812-INDEX('Shultis Faw'!$A$2:$A$26,MATCH($C812,'Shultis Faw'!$A$2:$A$26,1)))*(INDEX('Shultis Faw'!$D$2:$D$26,MATCH($C812,'Shultis Faw'!$A$2:$A$26,1)+1)-INDEX('Shultis Faw'!$D$2:$D$26,MATCH($C812,'Shultis Faw'!$A$2:$A$26,1)))/(INDEX('Shultis Faw'!$A$2:$A$26,MATCH($C812,'Shultis Faw'!$A$2:$A$26,1)+1)-INDEX('Shultis Faw'!$A$2:$A$26,MATCH($C812,'Shultis Faw'!$A$2:$A$26,1))),$C812*'Shultis Faw'!$D$2/'Shultis Faw'!$A$2)</f>
        <v>1.5990800000000001</v>
      </c>
      <c r="K812" s="83">
        <f>_xlfn.IFNA(INDEX('Shultis Faw'!$B$2:$B$26,MATCH($C812,'Shultis Faw'!$A$2:$A$26,1))+($C812-INDEX('Shultis Faw'!$A$2:$A$26,MATCH($C812,'Shultis Faw'!$A$2:$A$26,1)))*(INDEX('Shultis Faw'!$B$2:$B$26,MATCH($C812,'Shultis Faw'!$A$2:$A$26,1)+1)-INDEX('Shultis Faw'!$B$2:$B$26,MATCH($C812,'Shultis Faw'!$A$2:$A$26,1)))/(INDEX('Shultis Faw'!$A$2:$A$26,MATCH($C812,'Shultis Faw'!$A$2:$A$26,1)+1)-INDEX('Shultis Faw'!$A$2:$A$26,MATCH($C812,'Shultis Faw'!$A$2:$A$26,1))),$C812*'Shultis Faw'!$B$2/'Shultis Faw'!$A$2)</f>
        <v>-0.112752</v>
      </c>
      <c r="L812" s="83">
        <f>_xlfn.IFNA(INDEX('Shultis Faw'!$E$2:$E$26,MATCH($C812,'Shultis Faw'!$A$2:$A$26,1))+($C812-INDEX('Shultis Faw'!$A$2:$A$26,MATCH($C812,'Shultis Faw'!$A$2:$A$26,1)))*(INDEX('Shultis Faw'!$E$2:$E$26,MATCH($C812,'Shultis Faw'!$A$2:$A$26,1)+1)-INDEX('Shultis Faw'!$E$2:$E$26,MATCH($C812,'Shultis Faw'!$A$2:$A$26,1)))/(INDEX('Shultis Faw'!$A$2:$A$26,MATCH($C812,'Shultis Faw'!$A$2:$A$26,1)+1)-INDEX('Shultis Faw'!$A$2:$A$26,MATCH($C812,'Shultis Faw'!$A$2:$A$26,1))),$C812*'Shultis Faw'!$E$2/'Shultis Faw'!$A$2)</f>
        <v>4.6392800000000005E-2</v>
      </c>
      <c r="M812" s="83">
        <f>_xlfn.IFNA(INDEX('Shultis Faw'!$F$2:$F$26,MATCH($C812,'Shultis Faw'!$A$2:$A$26,1))+($C812-INDEX('Shultis Faw'!$A$2:$A$26,MATCH($C812,'Shultis Faw'!$A$2:$A$26,1)))*(INDEX('Shultis Faw'!$F$2:$F$26,MATCH($C812,'Shultis Faw'!$A$2:$A$26,1)+1)-INDEX('Shultis Faw'!$F$2:$F$26,MATCH($C812,'Shultis Faw'!$A$2:$A$26,1)))/(INDEX('Shultis Faw'!$A$2:$A$26,MATCH($C812,'Shultis Faw'!$A$2:$A$26,1)+1)-INDEX('Shultis Faw'!$A$2:$A$26,MATCH($C812,'Shultis Faw'!$A$2:$A$26,1))),$C812*'Shultis Faw'!$F$2/'Shultis Faw'!$A$2)</f>
        <v>14.30696</v>
      </c>
      <c r="N812" s="83">
        <f>J812*(H812*'Externe blootstelling'!$D$23/2)^K812+L812*(TANH(((H812*'Externe blootstelling'!$D$23)/(2*M812))-2)-TANH(-2))/(1-TANH(-2))</f>
        <v>1.5605258875822396</v>
      </c>
      <c r="O812" s="83">
        <f>IF(N812=1,1+(I812-1)*H812*'Externe blootstelling'!$D$23/2,1+(I812-1)*(N812^(H812*'Externe blootstelling'!$D$23/2)-1)/(N812-1))</f>
        <v>2.6856898077408751</v>
      </c>
      <c r="P812" s="67">
        <f>G812*EXP(-H812*'Externe blootstelling'!$D$23/2)*O812</f>
        <v>3.6842373950211573E-5</v>
      </c>
      <c r="Q812" s="68"/>
    </row>
    <row r="813" spans="1:17" x14ac:dyDescent="0.2">
      <c r="A813" s="220"/>
      <c r="B813" s="64" t="s">
        <v>104</v>
      </c>
      <c r="C813" s="66">
        <v>0.72839999999999994</v>
      </c>
      <c r="D813" s="66">
        <f t="shared" si="52"/>
        <v>1.1654399999999996E-13</v>
      </c>
      <c r="E813" s="66">
        <v>2.7999999999999999E-6</v>
      </c>
      <c r="F813" s="66">
        <f>_xlfn.IFNA(INDEX('hp (pSv cm2)'!$B$2:$B$52,MATCH($C813,'hp (pSv cm2)'!$A$2:$A$52,1))+($C813-INDEX('hp (pSv cm2)'!$A$2:$A$52,MATCH($C813,'hp (pSv cm2)'!$A$2:$A$52,1)))*(INDEX('hp (pSv cm2)'!$B$2:$B$52,MATCH($C813,'hp (pSv cm2)'!$A$2:$A$52,1)+1)-INDEX('hp (pSv cm2)'!$B$2:$B$52,MATCH($C813,'hp (pSv cm2)'!$A$2:$A$52,1)))/(INDEX('hp (pSv cm2)'!$A$2:$A$52,MATCH($C813,'hp (pSv cm2)'!$A$2:$A$52,1)+1)-INDEX('hp (pSv cm2)'!$A$2:$A$52,MATCH($C813,'hp (pSv cm2)'!$A$2:$A$52,1))),$C813*'hp (pSv cm2)'!$B$2/'hp (pSv cm2)'!$A$2)</f>
        <v>3.4364399999999997</v>
      </c>
      <c r="G813" s="67">
        <f t="shared" si="53"/>
        <v>9.6220319999999996E-6</v>
      </c>
      <c r="H813" s="83">
        <f>_xlfn.IFNA(0.997*(INDEX('Mass attenuation coefficients'!$B$2:$B$37,MATCH($C813,'Mass attenuation coefficients'!$A$2:$A$37,1))+($C813-INDEX('Mass attenuation coefficients'!$A$2:$A$37,MATCH($C813,'Mass attenuation coefficients'!$A$2:$A$37,1)))*(INDEX('Mass attenuation coefficients'!$B$2:$B$37,MATCH($C813,'Mass attenuation coefficients'!$A$2:$A$37,1)+1)-INDEX('Mass attenuation coefficients'!$B$2:$B$37,MATCH($C813,'Mass attenuation coefficients'!$A$2:$A$37,1)))/(INDEX('Mass attenuation coefficients'!$A$2:$A$37,MATCH($C813,'Mass attenuation coefficients'!$A$2:$A$37,1)+1)-INDEX('Mass attenuation coefficients'!$A$2:$A$37,MATCH($C813,'Mass attenuation coefficients'!$A$2:$A$37,1)))),0.997*$C813*'Mass attenuation coefficients'!$B$2/'Mass attenuation coefficients'!$A$2)</f>
        <v>8.2308112660000016E-2</v>
      </c>
      <c r="I813" s="83">
        <f>_xlfn.IFNA(INDEX('Shultis Faw'!$C$2:$C$26,MATCH($C813,'Shultis Faw'!$A$2:$A$26,1))+($C813-INDEX('Shultis Faw'!$A$2:$A$26,MATCH($C813,'Shultis Faw'!$A$2:$A$26,1)))*(INDEX('Shultis Faw'!$C$2:$C$26,MATCH($C813,'Shultis Faw'!$A$2:$A$26,1)+1)-INDEX('Shultis Faw'!$C$2:$C$26,MATCH($C813,'Shultis Faw'!$A$2:$A$26,1)))/(INDEX('Shultis Faw'!$A$2:$A$26,MATCH($C813,'Shultis Faw'!$A$2:$A$26,1)+1)-INDEX('Shultis Faw'!$A$2:$A$26,MATCH($C813,'Shultis Faw'!$A$2:$A$26,1))),$C813*'Shultis Faw'!$C$2/'Shultis Faw'!$A$2)</f>
        <v>2.2710699999999999</v>
      </c>
      <c r="J813" s="83">
        <f>_xlfn.IFNA(INDEX('Shultis Faw'!$D$2:$D$26,MATCH($C813,'Shultis Faw'!$A$2:$A$26,1))+($C813-INDEX('Shultis Faw'!$A$2:$A$26,MATCH($C813,'Shultis Faw'!$A$2:$A$26,1)))*(INDEX('Shultis Faw'!$D$2:$D$26,MATCH($C813,'Shultis Faw'!$A$2:$A$26,1)+1)-INDEX('Shultis Faw'!$D$2:$D$26,MATCH($C813,'Shultis Faw'!$A$2:$A$26,1)))/(INDEX('Shultis Faw'!$A$2:$A$26,MATCH($C813,'Shultis Faw'!$A$2:$A$26,1)+1)-INDEX('Shultis Faw'!$A$2:$A$26,MATCH($C813,'Shultis Faw'!$A$2:$A$26,1))),$C813*'Shultis Faw'!$D$2/'Shultis Faw'!$A$2)</f>
        <v>1.59233</v>
      </c>
      <c r="K813" s="83">
        <f>_xlfn.IFNA(INDEX('Shultis Faw'!$B$2:$B$26,MATCH($C813,'Shultis Faw'!$A$2:$A$26,1))+($C813-INDEX('Shultis Faw'!$A$2:$A$26,MATCH($C813,'Shultis Faw'!$A$2:$A$26,1)))*(INDEX('Shultis Faw'!$B$2:$B$26,MATCH($C813,'Shultis Faw'!$A$2:$A$26,1)+1)-INDEX('Shultis Faw'!$B$2:$B$26,MATCH($C813,'Shultis Faw'!$A$2:$A$26,1)))/(INDEX('Shultis Faw'!$A$2:$A$26,MATCH($C813,'Shultis Faw'!$A$2:$A$26,1)+1)-INDEX('Shultis Faw'!$A$2:$A$26,MATCH($C813,'Shultis Faw'!$A$2:$A$26,1))),$C813*'Shultis Faw'!$B$2/'Shultis Faw'!$A$2)</f>
        <v>-0.11180200000000001</v>
      </c>
      <c r="L813" s="83">
        <f>_xlfn.IFNA(INDEX('Shultis Faw'!$E$2:$E$26,MATCH($C813,'Shultis Faw'!$A$2:$A$26,1))+($C813-INDEX('Shultis Faw'!$A$2:$A$26,MATCH($C813,'Shultis Faw'!$A$2:$A$26,1)))*(INDEX('Shultis Faw'!$E$2:$E$26,MATCH($C813,'Shultis Faw'!$A$2:$A$26,1)+1)-INDEX('Shultis Faw'!$E$2:$E$26,MATCH($C813,'Shultis Faw'!$A$2:$A$26,1)))/(INDEX('Shultis Faw'!$A$2:$A$26,MATCH($C813,'Shultis Faw'!$A$2:$A$26,1)+1)-INDEX('Shultis Faw'!$A$2:$A$26,MATCH($C813,'Shultis Faw'!$A$2:$A$26,1))),$C813*'Shultis Faw'!$E$2/'Shultis Faw'!$A$2)</f>
        <v>4.6062800000000001E-2</v>
      </c>
      <c r="M813" s="83">
        <f>_xlfn.IFNA(INDEX('Shultis Faw'!$F$2:$F$26,MATCH($C813,'Shultis Faw'!$A$2:$A$26,1))+($C813-INDEX('Shultis Faw'!$A$2:$A$26,MATCH($C813,'Shultis Faw'!$A$2:$A$26,1)))*(INDEX('Shultis Faw'!$F$2:$F$26,MATCH($C813,'Shultis Faw'!$A$2:$A$26,1)+1)-INDEX('Shultis Faw'!$F$2:$F$26,MATCH($C813,'Shultis Faw'!$A$2:$A$26,1)))/(INDEX('Shultis Faw'!$A$2:$A$26,MATCH($C813,'Shultis Faw'!$A$2:$A$26,1)+1)-INDEX('Shultis Faw'!$A$2:$A$26,MATCH($C813,'Shultis Faw'!$A$2:$A$26,1))),$C813*'Shultis Faw'!$F$2/'Shultis Faw'!$A$2)</f>
        <v>14.313459999999999</v>
      </c>
      <c r="N813" s="83">
        <f>J813*(H813*'Externe blootstelling'!$D$23/2)^K813+L813*(TANH(((H813*'Externe blootstelling'!$D$23)/(2*M813))-2)-TANH(-2))/(1-TANH(-2))</f>
        <v>1.5554025814324752</v>
      </c>
      <c r="O813" s="83">
        <f>IF(N813=1,1+(I813-1)*H813*'Externe blootstelling'!$D$23/2,1+(I813-1)*(N813^(H813*'Externe blootstelling'!$D$23/2)-1)/(N813-1))</f>
        <v>2.65978685569468</v>
      </c>
      <c r="P813" s="67">
        <f>G813*EXP(-H813*'Externe blootstelling'!$D$23/2)*O813</f>
        <v>7.4460208025007847E-6</v>
      </c>
      <c r="Q813" s="68"/>
    </row>
    <row r="814" spans="1:17" x14ac:dyDescent="0.2">
      <c r="A814" s="220"/>
      <c r="B814" s="64" t="s">
        <v>104</v>
      </c>
      <c r="C814" s="66">
        <v>0.73280000000000001</v>
      </c>
      <c r="D814" s="66">
        <f t="shared" si="52"/>
        <v>1.1724799999999999E-13</v>
      </c>
      <c r="E814" s="66">
        <v>5.9999999999999993E-6</v>
      </c>
      <c r="F814" s="66">
        <f>_xlfn.IFNA(INDEX('hp (pSv cm2)'!$B$2:$B$52,MATCH($C814,'hp (pSv cm2)'!$A$2:$A$52,1))+($C814-INDEX('hp (pSv cm2)'!$A$2:$A$52,MATCH($C814,'hp (pSv cm2)'!$A$2:$A$52,1)))*(INDEX('hp (pSv cm2)'!$B$2:$B$52,MATCH($C814,'hp (pSv cm2)'!$A$2:$A$52,1)+1)-INDEX('hp (pSv cm2)'!$B$2:$B$52,MATCH($C814,'hp (pSv cm2)'!$A$2:$A$52,1)))/(INDEX('hp (pSv cm2)'!$A$2:$A$52,MATCH($C814,'hp (pSv cm2)'!$A$2:$A$52,1)+1)-INDEX('hp (pSv cm2)'!$A$2:$A$52,MATCH($C814,'hp (pSv cm2)'!$A$2:$A$52,1))),$C814*'hp (pSv cm2)'!$B$2/'hp (pSv cm2)'!$A$2)</f>
        <v>3.4544800000000002</v>
      </c>
      <c r="G814" s="67">
        <f t="shared" si="53"/>
        <v>2.0726879999999998E-5</v>
      </c>
      <c r="H814" s="83">
        <f>_xlfn.IFNA(0.997*(INDEX('Mass attenuation coefficients'!$B$2:$B$37,MATCH($C814,'Mass attenuation coefficients'!$A$2:$A$37,1))+($C814-INDEX('Mass attenuation coefficients'!$A$2:$A$37,MATCH($C814,'Mass attenuation coefficients'!$A$2:$A$37,1)))*(INDEX('Mass attenuation coefficients'!$B$2:$B$37,MATCH($C814,'Mass attenuation coefficients'!$A$2:$A$37,1)+1)-INDEX('Mass attenuation coefficients'!$B$2:$B$37,MATCH($C814,'Mass attenuation coefficients'!$A$2:$A$37,1)))/(INDEX('Mass attenuation coefficients'!$A$2:$A$37,MATCH($C814,'Mass attenuation coefficients'!$A$2:$A$37,1)+1)-INDEX('Mass attenuation coefficients'!$A$2:$A$37,MATCH($C814,'Mass attenuation coefficients'!$A$2:$A$37,1)))),0.997*$C814*'Mass attenuation coefficients'!$B$2/'Mass attenuation coefficients'!$A$2)</f>
        <v>8.2068812719999995E-2</v>
      </c>
      <c r="I814" s="83">
        <f>_xlfn.IFNA(INDEX('Shultis Faw'!$C$2:$C$26,MATCH($C814,'Shultis Faw'!$A$2:$A$26,1))+($C814-INDEX('Shultis Faw'!$A$2:$A$26,MATCH($C814,'Shultis Faw'!$A$2:$A$26,1)))*(INDEX('Shultis Faw'!$C$2:$C$26,MATCH($C814,'Shultis Faw'!$A$2:$A$26,1)+1)-INDEX('Shultis Faw'!$C$2:$C$26,MATCH($C814,'Shultis Faw'!$A$2:$A$26,1)))/(INDEX('Shultis Faw'!$A$2:$A$26,MATCH($C814,'Shultis Faw'!$A$2:$A$26,1)+1)-INDEX('Shultis Faw'!$A$2:$A$26,MATCH($C814,'Shultis Faw'!$A$2:$A$26,1))),$C814*'Shultis Faw'!$C$2/'Shultis Faw'!$A$2)</f>
        <v>2.2674400000000001</v>
      </c>
      <c r="J814" s="83">
        <f>_xlfn.IFNA(INDEX('Shultis Faw'!$D$2:$D$26,MATCH($C814,'Shultis Faw'!$A$2:$A$26,1))+($C814-INDEX('Shultis Faw'!$A$2:$A$26,MATCH($C814,'Shultis Faw'!$A$2:$A$26,1)))*(INDEX('Shultis Faw'!$D$2:$D$26,MATCH($C814,'Shultis Faw'!$A$2:$A$26,1)+1)-INDEX('Shultis Faw'!$D$2:$D$26,MATCH($C814,'Shultis Faw'!$A$2:$A$26,1)))/(INDEX('Shultis Faw'!$A$2:$A$26,MATCH($C814,'Shultis Faw'!$A$2:$A$26,1)+1)-INDEX('Shultis Faw'!$A$2:$A$26,MATCH($C814,'Shultis Faw'!$A$2:$A$26,1))),$C814*'Shultis Faw'!$D$2/'Shultis Faw'!$A$2)</f>
        <v>1.5893600000000001</v>
      </c>
      <c r="K814" s="83">
        <f>_xlfn.IFNA(INDEX('Shultis Faw'!$B$2:$B$26,MATCH($C814,'Shultis Faw'!$A$2:$A$26,1))+($C814-INDEX('Shultis Faw'!$A$2:$A$26,MATCH($C814,'Shultis Faw'!$A$2:$A$26,1)))*(INDEX('Shultis Faw'!$B$2:$B$26,MATCH($C814,'Shultis Faw'!$A$2:$A$26,1)+1)-INDEX('Shultis Faw'!$B$2:$B$26,MATCH($C814,'Shultis Faw'!$A$2:$A$26,1)))/(INDEX('Shultis Faw'!$A$2:$A$26,MATCH($C814,'Shultis Faw'!$A$2:$A$26,1)+1)-INDEX('Shultis Faw'!$A$2:$A$26,MATCH($C814,'Shultis Faw'!$A$2:$A$26,1))),$C814*'Shultis Faw'!$B$2/'Shultis Faw'!$A$2)</f>
        <v>-0.111384</v>
      </c>
      <c r="L814" s="83">
        <f>_xlfn.IFNA(INDEX('Shultis Faw'!$E$2:$E$26,MATCH($C814,'Shultis Faw'!$A$2:$A$26,1))+($C814-INDEX('Shultis Faw'!$A$2:$A$26,MATCH($C814,'Shultis Faw'!$A$2:$A$26,1)))*(INDEX('Shultis Faw'!$E$2:$E$26,MATCH($C814,'Shultis Faw'!$A$2:$A$26,1)+1)-INDEX('Shultis Faw'!$E$2:$E$26,MATCH($C814,'Shultis Faw'!$A$2:$A$26,1)))/(INDEX('Shultis Faw'!$A$2:$A$26,MATCH($C814,'Shultis Faw'!$A$2:$A$26,1)+1)-INDEX('Shultis Faw'!$A$2:$A$26,MATCH($C814,'Shultis Faw'!$A$2:$A$26,1))),$C814*'Shultis Faw'!$E$2/'Shultis Faw'!$A$2)</f>
        <v>4.5917600000000003E-2</v>
      </c>
      <c r="M814" s="83">
        <f>_xlfn.IFNA(INDEX('Shultis Faw'!$F$2:$F$26,MATCH($C814,'Shultis Faw'!$A$2:$A$26,1))+($C814-INDEX('Shultis Faw'!$A$2:$A$26,MATCH($C814,'Shultis Faw'!$A$2:$A$26,1)))*(INDEX('Shultis Faw'!$F$2:$F$26,MATCH($C814,'Shultis Faw'!$A$2:$A$26,1)+1)-INDEX('Shultis Faw'!$F$2:$F$26,MATCH($C814,'Shultis Faw'!$A$2:$A$26,1)))/(INDEX('Shultis Faw'!$A$2:$A$26,MATCH($C814,'Shultis Faw'!$A$2:$A$26,1)+1)-INDEX('Shultis Faw'!$A$2:$A$26,MATCH($C814,'Shultis Faw'!$A$2:$A$26,1))),$C814*'Shultis Faw'!$F$2/'Shultis Faw'!$A$2)</f>
        <v>14.316319999999999</v>
      </c>
      <c r="N814" s="83">
        <f>J814*(H814*'Externe blootstelling'!$D$23/2)^K814+L814*(TANH(((H814*'Externe blootstelling'!$D$23)/(2*M814))-2)-TANH(-2))/(1-TANH(-2))</f>
        <v>1.5531410639509744</v>
      </c>
      <c r="O814" s="83">
        <f>IF(N814=1,1+(I814-1)*H814*'Externe blootstelling'!$D$23/2,1+(I814-1)*(N814^(H814*'Externe blootstelling'!$D$23/2)-1)/(N814-1))</f>
        <v>2.6484868687156595</v>
      </c>
      <c r="P814" s="67">
        <f>G814*EXP(-H814*'Externe blootstelling'!$D$23/2)*O814</f>
        <v>1.6028809578959294E-5</v>
      </c>
      <c r="Q814" s="68"/>
    </row>
    <row r="815" spans="1:17" x14ac:dyDescent="0.2">
      <c r="A815" s="220"/>
      <c r="B815" s="64" t="s">
        <v>104</v>
      </c>
      <c r="C815" s="66">
        <v>0.73720000000000008</v>
      </c>
      <c r="D815" s="66">
        <f t="shared" si="52"/>
        <v>1.1795200000000001E-13</v>
      </c>
      <c r="E815" s="66">
        <v>2.7999999999999999E-6</v>
      </c>
      <c r="F815" s="66">
        <f>_xlfn.IFNA(INDEX('hp (pSv cm2)'!$B$2:$B$52,MATCH($C815,'hp (pSv cm2)'!$A$2:$A$52,1))+($C815-INDEX('hp (pSv cm2)'!$A$2:$A$52,MATCH($C815,'hp (pSv cm2)'!$A$2:$A$52,1)))*(INDEX('hp (pSv cm2)'!$B$2:$B$52,MATCH($C815,'hp (pSv cm2)'!$A$2:$A$52,1)+1)-INDEX('hp (pSv cm2)'!$B$2:$B$52,MATCH($C815,'hp (pSv cm2)'!$A$2:$A$52,1)))/(INDEX('hp (pSv cm2)'!$A$2:$A$52,MATCH($C815,'hp (pSv cm2)'!$A$2:$A$52,1)+1)-INDEX('hp (pSv cm2)'!$A$2:$A$52,MATCH($C815,'hp (pSv cm2)'!$A$2:$A$52,1))),$C815*'hp (pSv cm2)'!$B$2/'hp (pSv cm2)'!$A$2)</f>
        <v>3.4725200000000003</v>
      </c>
      <c r="G815" s="67">
        <f t="shared" si="53"/>
        <v>9.7230559999999998E-6</v>
      </c>
      <c r="H815" s="83">
        <f>_xlfn.IFNA(0.997*(INDEX('Mass attenuation coefficients'!$B$2:$B$37,MATCH($C815,'Mass attenuation coefficients'!$A$2:$A$37,1))+($C815-INDEX('Mass attenuation coefficients'!$A$2:$A$37,MATCH($C815,'Mass attenuation coefficients'!$A$2:$A$37,1)))*(INDEX('Mass attenuation coefficients'!$B$2:$B$37,MATCH($C815,'Mass attenuation coefficients'!$A$2:$A$37,1)+1)-INDEX('Mass attenuation coefficients'!$B$2:$B$37,MATCH($C815,'Mass attenuation coefficients'!$A$2:$A$37,1)))/(INDEX('Mass attenuation coefficients'!$A$2:$A$37,MATCH($C815,'Mass attenuation coefficients'!$A$2:$A$37,1)+1)-INDEX('Mass attenuation coefficients'!$A$2:$A$37,MATCH($C815,'Mass attenuation coefficients'!$A$2:$A$37,1)))),0.997*$C815*'Mass attenuation coefficients'!$B$2/'Mass attenuation coefficients'!$A$2)</f>
        <v>8.1829512779999988E-2</v>
      </c>
      <c r="I815" s="83">
        <f>_xlfn.IFNA(INDEX('Shultis Faw'!$C$2:$C$26,MATCH($C815,'Shultis Faw'!$A$2:$A$26,1))+($C815-INDEX('Shultis Faw'!$A$2:$A$26,MATCH($C815,'Shultis Faw'!$A$2:$A$26,1)))*(INDEX('Shultis Faw'!$C$2:$C$26,MATCH($C815,'Shultis Faw'!$A$2:$A$26,1)+1)-INDEX('Shultis Faw'!$C$2:$C$26,MATCH($C815,'Shultis Faw'!$A$2:$A$26,1)))/(INDEX('Shultis Faw'!$A$2:$A$26,MATCH($C815,'Shultis Faw'!$A$2:$A$26,1)+1)-INDEX('Shultis Faw'!$A$2:$A$26,MATCH($C815,'Shultis Faw'!$A$2:$A$26,1))),$C815*'Shultis Faw'!$C$2/'Shultis Faw'!$A$2)</f>
        <v>2.2638099999999999</v>
      </c>
      <c r="J815" s="83">
        <f>_xlfn.IFNA(INDEX('Shultis Faw'!$D$2:$D$26,MATCH($C815,'Shultis Faw'!$A$2:$A$26,1))+($C815-INDEX('Shultis Faw'!$A$2:$A$26,MATCH($C815,'Shultis Faw'!$A$2:$A$26,1)))*(INDEX('Shultis Faw'!$D$2:$D$26,MATCH($C815,'Shultis Faw'!$A$2:$A$26,1)+1)-INDEX('Shultis Faw'!$D$2:$D$26,MATCH($C815,'Shultis Faw'!$A$2:$A$26,1)))/(INDEX('Shultis Faw'!$A$2:$A$26,MATCH($C815,'Shultis Faw'!$A$2:$A$26,1)+1)-INDEX('Shultis Faw'!$A$2:$A$26,MATCH($C815,'Shultis Faw'!$A$2:$A$26,1))),$C815*'Shultis Faw'!$D$2/'Shultis Faw'!$A$2)</f>
        <v>1.58639</v>
      </c>
      <c r="K815" s="83">
        <f>_xlfn.IFNA(INDEX('Shultis Faw'!$B$2:$B$26,MATCH($C815,'Shultis Faw'!$A$2:$A$26,1))+($C815-INDEX('Shultis Faw'!$A$2:$A$26,MATCH($C815,'Shultis Faw'!$A$2:$A$26,1)))*(INDEX('Shultis Faw'!$B$2:$B$26,MATCH($C815,'Shultis Faw'!$A$2:$A$26,1)+1)-INDEX('Shultis Faw'!$B$2:$B$26,MATCH($C815,'Shultis Faw'!$A$2:$A$26,1)))/(INDEX('Shultis Faw'!$A$2:$A$26,MATCH($C815,'Shultis Faw'!$A$2:$A$26,1)+1)-INDEX('Shultis Faw'!$A$2:$A$26,MATCH($C815,'Shultis Faw'!$A$2:$A$26,1))),$C815*'Shultis Faw'!$B$2/'Shultis Faw'!$A$2)</f>
        <v>-0.110966</v>
      </c>
      <c r="L815" s="83">
        <f>_xlfn.IFNA(INDEX('Shultis Faw'!$E$2:$E$26,MATCH($C815,'Shultis Faw'!$A$2:$A$26,1))+($C815-INDEX('Shultis Faw'!$A$2:$A$26,MATCH($C815,'Shultis Faw'!$A$2:$A$26,1)))*(INDEX('Shultis Faw'!$E$2:$E$26,MATCH($C815,'Shultis Faw'!$A$2:$A$26,1)+1)-INDEX('Shultis Faw'!$E$2:$E$26,MATCH($C815,'Shultis Faw'!$A$2:$A$26,1)))/(INDEX('Shultis Faw'!$A$2:$A$26,MATCH($C815,'Shultis Faw'!$A$2:$A$26,1)+1)-INDEX('Shultis Faw'!$A$2:$A$26,MATCH($C815,'Shultis Faw'!$A$2:$A$26,1))),$C815*'Shultis Faw'!$E$2/'Shultis Faw'!$A$2)</f>
        <v>4.5772399999999998E-2</v>
      </c>
      <c r="M815" s="83">
        <f>_xlfn.IFNA(INDEX('Shultis Faw'!$F$2:$F$26,MATCH($C815,'Shultis Faw'!$A$2:$A$26,1))+($C815-INDEX('Shultis Faw'!$A$2:$A$26,MATCH($C815,'Shultis Faw'!$A$2:$A$26,1)))*(INDEX('Shultis Faw'!$F$2:$F$26,MATCH($C815,'Shultis Faw'!$A$2:$A$26,1)+1)-INDEX('Shultis Faw'!$F$2:$F$26,MATCH($C815,'Shultis Faw'!$A$2:$A$26,1)))/(INDEX('Shultis Faw'!$A$2:$A$26,MATCH($C815,'Shultis Faw'!$A$2:$A$26,1)+1)-INDEX('Shultis Faw'!$A$2:$A$26,MATCH($C815,'Shultis Faw'!$A$2:$A$26,1))),$C815*'Shultis Faw'!$F$2/'Shultis Faw'!$A$2)</f>
        <v>14.319179999999999</v>
      </c>
      <c r="N815" s="83">
        <f>J815*(H815*'Externe blootstelling'!$D$23/2)^K815+L815*(TANH(((H815*'Externe blootstelling'!$D$23)/(2*M815))-2)-TANH(-2))/(1-TANH(-2))</f>
        <v>1.5508751091722488</v>
      </c>
      <c r="O815" s="83">
        <f>IF(N815=1,1+(I815-1)*H815*'Externe blootstelling'!$D$23/2,1+(I815-1)*(N815^(H815*'Externe blootstelling'!$D$23/2)-1)/(N815-1))</f>
        <v>2.6372459476713512</v>
      </c>
      <c r="P815" s="67">
        <f>G815*EXP(-H815*'Externe blootstelling'!$D$23/2)*O815</f>
        <v>7.514184129094713E-6</v>
      </c>
      <c r="Q815" s="68"/>
    </row>
    <row r="816" spans="1:17" x14ac:dyDescent="0.2">
      <c r="A816" s="220"/>
      <c r="B816" s="64"/>
      <c r="C816" s="66"/>
      <c r="D816" s="66"/>
      <c r="E816" s="66"/>
      <c r="F816" s="66"/>
      <c r="G816" s="67"/>
      <c r="H816" s="68"/>
      <c r="I816" s="68"/>
      <c r="J816" s="68"/>
      <c r="K816" s="68"/>
      <c r="L816" s="68"/>
      <c r="M816" s="68"/>
      <c r="N816" s="68"/>
      <c r="O816" s="68"/>
      <c r="P816" s="67"/>
      <c r="Q816" s="67">
        <f>SUM(P729:P815)/SUM(G729:G815)</f>
        <v>1.0618672649180101</v>
      </c>
    </row>
    <row r="817" spans="3:6" s="62" customFormat="1" x14ac:dyDescent="0.2">
      <c r="C817" s="80"/>
      <c r="D817" s="80"/>
      <c r="E817" s="80"/>
      <c r="F817" s="80"/>
    </row>
    <row r="818" spans="3:6" s="62" customFormat="1" x14ac:dyDescent="0.2">
      <c r="C818" s="80"/>
      <c r="D818" s="80"/>
      <c r="E818" s="80"/>
      <c r="F818" s="80"/>
    </row>
    <row r="819" spans="3:6" s="62" customFormat="1" x14ac:dyDescent="0.2">
      <c r="C819" s="80"/>
      <c r="D819" s="80"/>
      <c r="E819" s="80"/>
      <c r="F819" s="80"/>
    </row>
    <row r="820" spans="3:6" s="62" customFormat="1" x14ac:dyDescent="0.2">
      <c r="C820" s="80"/>
      <c r="D820" s="80"/>
      <c r="E820" s="80"/>
      <c r="F820" s="80"/>
    </row>
    <row r="821" spans="3:6" s="62" customFormat="1" x14ac:dyDescent="0.2">
      <c r="C821" s="80"/>
      <c r="D821" s="80"/>
      <c r="E821" s="80"/>
      <c r="F821" s="80"/>
    </row>
    <row r="822" spans="3:6" s="62" customFormat="1" x14ac:dyDescent="0.2">
      <c r="C822" s="80"/>
      <c r="D822" s="80"/>
      <c r="E822" s="80"/>
      <c r="F822" s="80"/>
    </row>
    <row r="823" spans="3:6" s="62" customFormat="1" x14ac:dyDescent="0.2">
      <c r="C823" s="80"/>
      <c r="D823" s="80"/>
      <c r="E823" s="80"/>
      <c r="F823" s="80"/>
    </row>
    <row r="824" spans="3:6" s="62" customFormat="1" x14ac:dyDescent="0.2">
      <c r="C824" s="80"/>
      <c r="D824" s="80"/>
      <c r="E824" s="80"/>
      <c r="F824" s="80"/>
    </row>
    <row r="825" spans="3:6" s="62" customFormat="1" x14ac:dyDescent="0.2">
      <c r="C825" s="80"/>
      <c r="D825" s="80"/>
      <c r="E825" s="80"/>
      <c r="F825" s="80"/>
    </row>
    <row r="826" spans="3:6" s="62" customFormat="1" x14ac:dyDescent="0.2">
      <c r="C826" s="80"/>
      <c r="D826" s="80"/>
      <c r="E826" s="80"/>
      <c r="F826" s="80"/>
    </row>
    <row r="827" spans="3:6" s="62" customFormat="1" x14ac:dyDescent="0.2">
      <c r="C827" s="80"/>
      <c r="D827" s="80"/>
      <c r="E827" s="80"/>
      <c r="F827" s="80"/>
    </row>
    <row r="828" spans="3:6" s="62" customFormat="1" x14ac:dyDescent="0.2">
      <c r="C828" s="80"/>
      <c r="D828" s="80"/>
      <c r="E828" s="80"/>
      <c r="F828" s="80"/>
    </row>
    <row r="829" spans="3:6" s="62" customFormat="1" x14ac:dyDescent="0.2">
      <c r="C829" s="80"/>
      <c r="D829" s="80"/>
      <c r="E829" s="80"/>
      <c r="F829" s="80"/>
    </row>
    <row r="830" spans="3:6" s="62" customFormat="1" x14ac:dyDescent="0.2">
      <c r="C830" s="80"/>
      <c r="D830" s="80"/>
      <c r="E830" s="80"/>
      <c r="F830" s="80"/>
    </row>
    <row r="831" spans="3:6" s="62" customFormat="1" x14ac:dyDescent="0.2">
      <c r="C831" s="80"/>
      <c r="D831" s="80"/>
      <c r="E831" s="80"/>
      <c r="F831" s="80"/>
    </row>
    <row r="832" spans="3:6" s="62" customFormat="1" x14ac:dyDescent="0.2">
      <c r="C832" s="80"/>
      <c r="D832" s="80"/>
      <c r="E832" s="80"/>
      <c r="F832" s="80"/>
    </row>
    <row r="833" spans="3:6" s="62" customFormat="1" x14ac:dyDescent="0.2">
      <c r="C833" s="80"/>
      <c r="D833" s="80"/>
      <c r="E833" s="80"/>
      <c r="F833" s="80"/>
    </row>
    <row r="834" spans="3:6" s="62" customFormat="1" x14ac:dyDescent="0.2">
      <c r="C834" s="80"/>
      <c r="D834" s="80"/>
      <c r="E834" s="80"/>
      <c r="F834" s="80"/>
    </row>
    <row r="835" spans="3:6" s="62" customFormat="1" x14ac:dyDescent="0.2">
      <c r="C835" s="80"/>
      <c r="D835" s="80"/>
      <c r="E835" s="80"/>
      <c r="F835" s="80"/>
    </row>
    <row r="836" spans="3:6" s="62" customFormat="1" x14ac:dyDescent="0.2">
      <c r="C836" s="80"/>
      <c r="D836" s="80"/>
      <c r="E836" s="80"/>
      <c r="F836" s="80"/>
    </row>
    <row r="837" spans="3:6" s="62" customFormat="1" x14ac:dyDescent="0.2">
      <c r="C837" s="80"/>
      <c r="D837" s="80"/>
      <c r="E837" s="80"/>
      <c r="F837" s="80"/>
    </row>
    <row r="838" spans="3:6" s="62" customFormat="1" x14ac:dyDescent="0.2">
      <c r="C838" s="80"/>
      <c r="D838" s="80"/>
      <c r="E838" s="80"/>
      <c r="F838" s="80"/>
    </row>
    <row r="839" spans="3:6" s="62" customFormat="1" x14ac:dyDescent="0.2">
      <c r="C839" s="80"/>
      <c r="D839" s="80"/>
      <c r="E839" s="80"/>
      <c r="F839" s="80"/>
    </row>
    <row r="840" spans="3:6" s="62" customFormat="1" x14ac:dyDescent="0.2">
      <c r="C840" s="80"/>
      <c r="D840" s="80"/>
      <c r="E840" s="80"/>
      <c r="F840" s="80"/>
    </row>
    <row r="841" spans="3:6" s="62" customFormat="1" x14ac:dyDescent="0.2">
      <c r="C841" s="80"/>
      <c r="D841" s="80"/>
      <c r="E841" s="80"/>
      <c r="F841" s="80"/>
    </row>
    <row r="842" spans="3:6" s="62" customFormat="1" x14ac:dyDescent="0.2">
      <c r="C842" s="80"/>
      <c r="D842" s="80"/>
      <c r="E842" s="80"/>
      <c r="F842" s="80"/>
    </row>
    <row r="843" spans="3:6" s="62" customFormat="1" x14ac:dyDescent="0.2">
      <c r="C843" s="80"/>
      <c r="D843" s="80"/>
      <c r="E843" s="80"/>
      <c r="F843" s="80"/>
    </row>
    <row r="844" spans="3:6" s="62" customFormat="1" x14ac:dyDescent="0.2">
      <c r="C844" s="80"/>
      <c r="D844" s="80"/>
      <c r="E844" s="80"/>
      <c r="F844" s="80"/>
    </row>
    <row r="845" spans="3:6" s="62" customFormat="1" x14ac:dyDescent="0.2">
      <c r="C845" s="80"/>
      <c r="D845" s="80"/>
      <c r="E845" s="80"/>
      <c r="F845" s="80"/>
    </row>
    <row r="846" spans="3:6" s="62" customFormat="1" x14ac:dyDescent="0.2">
      <c r="C846" s="80"/>
      <c r="D846" s="80"/>
      <c r="E846" s="80"/>
      <c r="F846" s="80"/>
    </row>
    <row r="847" spans="3:6" s="62" customFormat="1" x14ac:dyDescent="0.2">
      <c r="C847" s="80"/>
      <c r="D847" s="80"/>
      <c r="E847" s="80"/>
      <c r="F847" s="80"/>
    </row>
    <row r="848" spans="3:6" s="62" customFormat="1" x14ac:dyDescent="0.2">
      <c r="C848" s="80"/>
      <c r="D848" s="80"/>
      <c r="E848" s="80"/>
      <c r="F848" s="80"/>
    </row>
    <row r="849" spans="3:6" s="62" customFormat="1" x14ac:dyDescent="0.2">
      <c r="C849" s="80"/>
      <c r="D849" s="80"/>
      <c r="E849" s="80"/>
      <c r="F849" s="80"/>
    </row>
    <row r="850" spans="3:6" s="62" customFormat="1" x14ac:dyDescent="0.2">
      <c r="C850" s="80"/>
      <c r="D850" s="80"/>
      <c r="E850" s="80"/>
      <c r="F850" s="80"/>
    </row>
    <row r="851" spans="3:6" s="62" customFormat="1" x14ac:dyDescent="0.2">
      <c r="C851" s="80"/>
      <c r="D851" s="80"/>
      <c r="E851" s="80"/>
      <c r="F851" s="80"/>
    </row>
    <row r="852" spans="3:6" s="62" customFormat="1" x14ac:dyDescent="0.2">
      <c r="C852" s="80"/>
      <c r="D852" s="80"/>
      <c r="E852" s="80"/>
      <c r="F852" s="80"/>
    </row>
    <row r="853" spans="3:6" s="62" customFormat="1" x14ac:dyDescent="0.2">
      <c r="C853" s="80"/>
      <c r="D853" s="80"/>
      <c r="E853" s="80"/>
      <c r="F853" s="80"/>
    </row>
    <row r="854" spans="3:6" s="62" customFormat="1" x14ac:dyDescent="0.2">
      <c r="C854" s="80"/>
      <c r="D854" s="80"/>
      <c r="E854" s="80"/>
      <c r="F854" s="80"/>
    </row>
    <row r="855" spans="3:6" s="62" customFormat="1" x14ac:dyDescent="0.2">
      <c r="C855" s="80"/>
      <c r="D855" s="80"/>
      <c r="E855" s="80"/>
      <c r="F855" s="80"/>
    </row>
    <row r="856" spans="3:6" s="62" customFormat="1" x14ac:dyDescent="0.2">
      <c r="C856" s="80"/>
      <c r="D856" s="80"/>
      <c r="E856" s="80"/>
      <c r="F856" s="80"/>
    </row>
    <row r="857" spans="3:6" s="62" customFormat="1" x14ac:dyDescent="0.2">
      <c r="C857" s="80"/>
      <c r="D857" s="80"/>
      <c r="E857" s="80"/>
      <c r="F857" s="80"/>
    </row>
    <row r="858" spans="3:6" s="62" customFormat="1" x14ac:dyDescent="0.2">
      <c r="C858" s="80"/>
      <c r="D858" s="80"/>
      <c r="E858" s="80"/>
      <c r="F858" s="80"/>
    </row>
    <row r="859" spans="3:6" s="62" customFormat="1" x14ac:dyDescent="0.2">
      <c r="C859" s="80"/>
      <c r="D859" s="80"/>
      <c r="E859" s="80"/>
      <c r="F859" s="80"/>
    </row>
    <row r="860" spans="3:6" s="62" customFormat="1" x14ac:dyDescent="0.2">
      <c r="C860" s="80"/>
      <c r="D860" s="80"/>
      <c r="E860" s="80"/>
      <c r="F860" s="80"/>
    </row>
    <row r="861" spans="3:6" s="62" customFormat="1" x14ac:dyDescent="0.2">
      <c r="C861" s="80"/>
      <c r="D861" s="80"/>
      <c r="E861" s="80"/>
      <c r="F861" s="80"/>
    </row>
    <row r="862" spans="3:6" s="62" customFormat="1" x14ac:dyDescent="0.2">
      <c r="C862" s="80"/>
      <c r="D862" s="80"/>
      <c r="E862" s="80"/>
      <c r="F862" s="80"/>
    </row>
    <row r="863" spans="3:6" s="62" customFormat="1" x14ac:dyDescent="0.2">
      <c r="C863" s="80"/>
      <c r="D863" s="80"/>
      <c r="E863" s="80"/>
      <c r="F863" s="80"/>
    </row>
    <row r="864" spans="3:6" s="62" customFormat="1" x14ac:dyDescent="0.2">
      <c r="C864" s="80"/>
      <c r="D864" s="80"/>
      <c r="E864" s="80"/>
      <c r="F864" s="80"/>
    </row>
    <row r="865" spans="3:6" s="62" customFormat="1" x14ac:dyDescent="0.2">
      <c r="C865" s="80"/>
      <c r="D865" s="80"/>
      <c r="E865" s="80"/>
      <c r="F865" s="80"/>
    </row>
    <row r="866" spans="3:6" s="62" customFormat="1" x14ac:dyDescent="0.2">
      <c r="C866" s="80"/>
      <c r="D866" s="80"/>
      <c r="E866" s="80"/>
      <c r="F866" s="80"/>
    </row>
    <row r="867" spans="3:6" s="62" customFormat="1" x14ac:dyDescent="0.2">
      <c r="C867" s="80"/>
      <c r="D867" s="80"/>
      <c r="E867" s="80"/>
      <c r="F867" s="80"/>
    </row>
    <row r="868" spans="3:6" s="62" customFormat="1" x14ac:dyDescent="0.2">
      <c r="C868" s="80"/>
      <c r="D868" s="80"/>
      <c r="E868" s="80"/>
      <c r="F868" s="80"/>
    </row>
    <row r="869" spans="3:6" s="62" customFormat="1" x14ac:dyDescent="0.2">
      <c r="C869" s="80"/>
      <c r="D869" s="80"/>
      <c r="E869" s="80"/>
      <c r="F869" s="80"/>
    </row>
    <row r="870" spans="3:6" s="62" customFormat="1" x14ac:dyDescent="0.2">
      <c r="C870" s="80"/>
      <c r="D870" s="80"/>
      <c r="E870" s="80"/>
      <c r="F870" s="80"/>
    </row>
    <row r="871" spans="3:6" s="62" customFormat="1" x14ac:dyDescent="0.2">
      <c r="C871" s="80"/>
      <c r="D871" s="80"/>
      <c r="E871" s="80"/>
      <c r="F871" s="80"/>
    </row>
    <row r="872" spans="3:6" s="62" customFormat="1" x14ac:dyDescent="0.2">
      <c r="C872" s="80"/>
      <c r="D872" s="80"/>
      <c r="E872" s="80"/>
      <c r="F872" s="80"/>
    </row>
    <row r="873" spans="3:6" s="62" customFormat="1" x14ac:dyDescent="0.2">
      <c r="C873" s="80"/>
      <c r="D873" s="80"/>
      <c r="E873" s="80"/>
      <c r="F873" s="80"/>
    </row>
    <row r="874" spans="3:6" s="62" customFormat="1" x14ac:dyDescent="0.2">
      <c r="C874" s="80"/>
      <c r="D874" s="80"/>
      <c r="E874" s="80"/>
      <c r="F874" s="80"/>
    </row>
    <row r="875" spans="3:6" s="62" customFormat="1" x14ac:dyDescent="0.2">
      <c r="C875" s="80"/>
      <c r="D875" s="80"/>
      <c r="E875" s="80"/>
      <c r="F875" s="80"/>
    </row>
    <row r="876" spans="3:6" s="62" customFormat="1" x14ac:dyDescent="0.2">
      <c r="C876" s="80"/>
      <c r="D876" s="80"/>
      <c r="E876" s="80"/>
      <c r="F876" s="80"/>
    </row>
    <row r="877" spans="3:6" s="62" customFormat="1" x14ac:dyDescent="0.2">
      <c r="C877" s="80"/>
      <c r="D877" s="80"/>
      <c r="E877" s="80"/>
      <c r="F877" s="80"/>
    </row>
    <row r="878" spans="3:6" s="62" customFormat="1" x14ac:dyDescent="0.2">
      <c r="C878" s="80"/>
      <c r="D878" s="80"/>
      <c r="E878" s="80"/>
      <c r="F878" s="80"/>
    </row>
    <row r="879" spans="3:6" s="62" customFormat="1" x14ac:dyDescent="0.2">
      <c r="C879" s="80"/>
      <c r="D879" s="80"/>
      <c r="E879" s="80"/>
      <c r="F879" s="80"/>
    </row>
    <row r="880" spans="3:6" s="62" customFormat="1" x14ac:dyDescent="0.2">
      <c r="C880" s="80"/>
      <c r="D880" s="80"/>
      <c r="E880" s="80"/>
      <c r="F880" s="80"/>
    </row>
    <row r="881" spans="3:6" s="62" customFormat="1" x14ac:dyDescent="0.2">
      <c r="C881" s="80"/>
      <c r="D881" s="80"/>
      <c r="E881" s="80"/>
      <c r="F881" s="80"/>
    </row>
    <row r="882" spans="3:6" s="62" customFormat="1" x14ac:dyDescent="0.2">
      <c r="C882" s="80"/>
      <c r="D882" s="80"/>
      <c r="E882" s="80"/>
      <c r="F882" s="80"/>
    </row>
    <row r="883" spans="3:6" s="62" customFormat="1" x14ac:dyDescent="0.2">
      <c r="C883" s="80"/>
      <c r="D883" s="80"/>
      <c r="E883" s="80"/>
      <c r="F883" s="80"/>
    </row>
    <row r="884" spans="3:6" s="62" customFormat="1" x14ac:dyDescent="0.2">
      <c r="C884" s="80"/>
      <c r="D884" s="80"/>
      <c r="E884" s="80"/>
      <c r="F884" s="80"/>
    </row>
    <row r="885" spans="3:6" s="62" customFormat="1" x14ac:dyDescent="0.2">
      <c r="C885" s="80"/>
      <c r="D885" s="80"/>
      <c r="E885" s="80"/>
      <c r="F885" s="80"/>
    </row>
    <row r="886" spans="3:6" s="62" customFormat="1" x14ac:dyDescent="0.2">
      <c r="C886" s="80"/>
      <c r="D886" s="80"/>
      <c r="E886" s="80"/>
      <c r="F886" s="80"/>
    </row>
    <row r="887" spans="3:6" s="62" customFormat="1" x14ac:dyDescent="0.2">
      <c r="C887" s="80"/>
      <c r="D887" s="80"/>
      <c r="E887" s="80"/>
      <c r="F887" s="80"/>
    </row>
    <row r="888" spans="3:6" s="62" customFormat="1" x14ac:dyDescent="0.2">
      <c r="C888" s="80"/>
      <c r="D888" s="80"/>
      <c r="E888" s="80"/>
      <c r="F888" s="80"/>
    </row>
    <row r="889" spans="3:6" s="62" customFormat="1" x14ac:dyDescent="0.2">
      <c r="C889" s="80"/>
      <c r="D889" s="80"/>
      <c r="E889" s="80"/>
      <c r="F889" s="80"/>
    </row>
    <row r="890" spans="3:6" s="62" customFormat="1" x14ac:dyDescent="0.2">
      <c r="C890" s="80"/>
      <c r="D890" s="80"/>
      <c r="E890" s="80"/>
      <c r="F890" s="80"/>
    </row>
    <row r="891" spans="3:6" s="62" customFormat="1" x14ac:dyDescent="0.2">
      <c r="C891" s="80"/>
      <c r="D891" s="80"/>
      <c r="E891" s="80"/>
      <c r="F891" s="80"/>
    </row>
    <row r="892" spans="3:6" s="62" customFormat="1" x14ac:dyDescent="0.2">
      <c r="C892" s="80"/>
      <c r="D892" s="80"/>
      <c r="E892" s="80"/>
      <c r="F892" s="80"/>
    </row>
    <row r="893" spans="3:6" s="62" customFormat="1" x14ac:dyDescent="0.2">
      <c r="C893" s="80"/>
      <c r="D893" s="80"/>
      <c r="E893" s="80"/>
      <c r="F893" s="80"/>
    </row>
    <row r="894" spans="3:6" s="62" customFormat="1" x14ac:dyDescent="0.2">
      <c r="C894" s="80"/>
      <c r="D894" s="80"/>
      <c r="E894" s="80"/>
      <c r="F894" s="80"/>
    </row>
    <row r="895" spans="3:6" s="62" customFormat="1" x14ac:dyDescent="0.2">
      <c r="C895" s="80"/>
      <c r="D895" s="80"/>
      <c r="E895" s="80"/>
      <c r="F895" s="80"/>
    </row>
    <row r="896" spans="3:6" s="62" customFormat="1" x14ac:dyDescent="0.2">
      <c r="C896" s="80"/>
      <c r="D896" s="80"/>
      <c r="E896" s="80"/>
      <c r="F896" s="80"/>
    </row>
    <row r="897" spans="3:6" s="62" customFormat="1" x14ac:dyDescent="0.2">
      <c r="C897" s="80"/>
      <c r="D897" s="80"/>
      <c r="E897" s="80"/>
      <c r="F897" s="80"/>
    </row>
    <row r="898" spans="3:6" s="62" customFormat="1" x14ac:dyDescent="0.2">
      <c r="C898" s="80"/>
      <c r="D898" s="80"/>
      <c r="E898" s="80"/>
      <c r="F898" s="80"/>
    </row>
    <row r="899" spans="3:6" s="62" customFormat="1" x14ac:dyDescent="0.2">
      <c r="C899" s="80"/>
      <c r="D899" s="80"/>
      <c r="E899" s="80"/>
      <c r="F899" s="80"/>
    </row>
    <row r="900" spans="3:6" s="62" customFormat="1" x14ac:dyDescent="0.2">
      <c r="C900" s="80"/>
      <c r="D900" s="80"/>
      <c r="E900" s="80"/>
      <c r="F900" s="80"/>
    </row>
    <row r="901" spans="3:6" s="62" customFormat="1" x14ac:dyDescent="0.2">
      <c r="C901" s="80"/>
      <c r="D901" s="80"/>
      <c r="E901" s="80"/>
      <c r="F901" s="80"/>
    </row>
    <row r="902" spans="3:6" s="62" customFormat="1" x14ac:dyDescent="0.2">
      <c r="C902" s="80"/>
      <c r="D902" s="80"/>
      <c r="E902" s="80"/>
      <c r="F902" s="80"/>
    </row>
    <row r="903" spans="3:6" s="62" customFormat="1" x14ac:dyDescent="0.2">
      <c r="C903" s="80"/>
      <c r="D903" s="80"/>
      <c r="E903" s="80"/>
      <c r="F903" s="80"/>
    </row>
    <row r="904" spans="3:6" s="62" customFormat="1" x14ac:dyDescent="0.2">
      <c r="C904" s="80"/>
      <c r="D904" s="80"/>
      <c r="E904" s="80"/>
      <c r="F904" s="80"/>
    </row>
    <row r="905" spans="3:6" s="62" customFormat="1" x14ac:dyDescent="0.2">
      <c r="C905" s="80"/>
      <c r="D905" s="80"/>
      <c r="E905" s="80"/>
      <c r="F905" s="80"/>
    </row>
    <row r="906" spans="3:6" s="62" customFormat="1" x14ac:dyDescent="0.2">
      <c r="C906" s="80"/>
      <c r="D906" s="80"/>
      <c r="E906" s="80"/>
      <c r="F906" s="80"/>
    </row>
    <row r="907" spans="3:6" s="62" customFormat="1" x14ac:dyDescent="0.2">
      <c r="C907" s="80"/>
      <c r="D907" s="80"/>
      <c r="E907" s="80"/>
      <c r="F907" s="80"/>
    </row>
    <row r="908" spans="3:6" s="62" customFormat="1" x14ac:dyDescent="0.2">
      <c r="C908" s="80"/>
      <c r="D908" s="80"/>
      <c r="E908" s="80"/>
      <c r="F908" s="80"/>
    </row>
    <row r="909" spans="3:6" s="62" customFormat="1" x14ac:dyDescent="0.2">
      <c r="C909" s="80"/>
      <c r="D909" s="80"/>
      <c r="E909" s="80"/>
      <c r="F909" s="80"/>
    </row>
    <row r="910" spans="3:6" s="62" customFormat="1" x14ac:dyDescent="0.2">
      <c r="C910" s="80"/>
      <c r="D910" s="80"/>
      <c r="E910" s="80"/>
      <c r="F910" s="80"/>
    </row>
    <row r="911" spans="3:6" s="62" customFormat="1" x14ac:dyDescent="0.2">
      <c r="C911" s="80"/>
      <c r="D911" s="80"/>
      <c r="E911" s="80"/>
      <c r="F911" s="80"/>
    </row>
    <row r="912" spans="3:6" s="62" customFormat="1" x14ac:dyDescent="0.2">
      <c r="C912" s="80"/>
      <c r="D912" s="80"/>
      <c r="E912" s="80"/>
      <c r="F912" s="80"/>
    </row>
    <row r="913" spans="3:6" s="62" customFormat="1" x14ac:dyDescent="0.2">
      <c r="C913" s="80"/>
      <c r="D913" s="80"/>
      <c r="E913" s="80"/>
      <c r="F913" s="80"/>
    </row>
    <row r="914" spans="3:6" s="62" customFormat="1" x14ac:dyDescent="0.2">
      <c r="C914" s="80"/>
      <c r="D914" s="80"/>
      <c r="E914" s="80"/>
      <c r="F914" s="80"/>
    </row>
    <row r="915" spans="3:6" s="62" customFormat="1" x14ac:dyDescent="0.2">
      <c r="C915" s="80"/>
      <c r="D915" s="80"/>
      <c r="E915" s="80"/>
      <c r="F915" s="80"/>
    </row>
    <row r="916" spans="3:6" s="62" customFormat="1" x14ac:dyDescent="0.2">
      <c r="C916" s="80"/>
      <c r="D916" s="80"/>
      <c r="E916" s="80"/>
      <c r="F916" s="80"/>
    </row>
    <row r="917" spans="3:6" s="62" customFormat="1" x14ac:dyDescent="0.2">
      <c r="C917" s="80"/>
      <c r="D917" s="80"/>
      <c r="E917" s="80"/>
      <c r="F917" s="80"/>
    </row>
    <row r="918" spans="3:6" s="62" customFormat="1" x14ac:dyDescent="0.2">
      <c r="C918" s="80"/>
      <c r="D918" s="80"/>
      <c r="E918" s="80"/>
      <c r="F918" s="80"/>
    </row>
    <row r="919" spans="3:6" s="62" customFormat="1" x14ac:dyDescent="0.2">
      <c r="C919" s="80"/>
      <c r="D919" s="80"/>
      <c r="E919" s="80"/>
      <c r="F919" s="80"/>
    </row>
    <row r="920" spans="3:6" s="62" customFormat="1" x14ac:dyDescent="0.2">
      <c r="C920" s="80"/>
      <c r="D920" s="80"/>
      <c r="E920" s="80"/>
      <c r="F920" s="80"/>
    </row>
    <row r="921" spans="3:6" s="62" customFormat="1" x14ac:dyDescent="0.2">
      <c r="C921" s="80"/>
      <c r="D921" s="80"/>
      <c r="E921" s="80"/>
      <c r="F921" s="80"/>
    </row>
    <row r="922" spans="3:6" s="62" customFormat="1" x14ac:dyDescent="0.2">
      <c r="C922" s="80"/>
      <c r="D922" s="80"/>
      <c r="E922" s="80"/>
      <c r="F922" s="80"/>
    </row>
    <row r="923" spans="3:6" s="62" customFormat="1" x14ac:dyDescent="0.2">
      <c r="C923" s="80"/>
      <c r="D923" s="80"/>
      <c r="E923" s="80"/>
      <c r="F923" s="80"/>
    </row>
    <row r="924" spans="3:6" s="62" customFormat="1" x14ac:dyDescent="0.2">
      <c r="C924" s="80"/>
      <c r="D924" s="80"/>
      <c r="E924" s="80"/>
      <c r="F924" s="80"/>
    </row>
    <row r="925" spans="3:6" s="62" customFormat="1" x14ac:dyDescent="0.2">
      <c r="C925" s="80"/>
      <c r="D925" s="80"/>
      <c r="E925" s="80"/>
      <c r="F925" s="80"/>
    </row>
    <row r="926" spans="3:6" s="62" customFormat="1" x14ac:dyDescent="0.2">
      <c r="C926" s="80"/>
      <c r="D926" s="80"/>
      <c r="E926" s="80"/>
      <c r="F926" s="80"/>
    </row>
    <row r="927" spans="3:6" s="62" customFormat="1" x14ac:dyDescent="0.2">
      <c r="C927" s="80"/>
      <c r="D927" s="80"/>
      <c r="E927" s="80"/>
      <c r="F927" s="80"/>
    </row>
    <row r="928" spans="3:6" s="62" customFormat="1" x14ac:dyDescent="0.2">
      <c r="C928" s="80"/>
      <c r="D928" s="80"/>
      <c r="E928" s="80"/>
      <c r="F928" s="80"/>
    </row>
    <row r="929" spans="3:6" s="62" customFormat="1" x14ac:dyDescent="0.2">
      <c r="C929" s="80"/>
      <c r="D929" s="80"/>
      <c r="E929" s="80"/>
      <c r="F929" s="80"/>
    </row>
    <row r="930" spans="3:6" s="62" customFormat="1" x14ac:dyDescent="0.2">
      <c r="C930" s="80"/>
      <c r="D930" s="80"/>
      <c r="E930" s="80"/>
      <c r="F930" s="80"/>
    </row>
    <row r="931" spans="3:6" s="62" customFormat="1" x14ac:dyDescent="0.2">
      <c r="C931" s="80"/>
      <c r="D931" s="80"/>
      <c r="E931" s="80"/>
      <c r="F931" s="80"/>
    </row>
    <row r="932" spans="3:6" s="62" customFormat="1" x14ac:dyDescent="0.2">
      <c r="C932" s="80"/>
      <c r="D932" s="80"/>
      <c r="E932" s="80"/>
      <c r="F932" s="80"/>
    </row>
    <row r="933" spans="3:6" s="62" customFormat="1" x14ac:dyDescent="0.2">
      <c r="C933" s="80"/>
      <c r="D933" s="80"/>
      <c r="E933" s="80"/>
      <c r="F933" s="80"/>
    </row>
    <row r="934" spans="3:6" s="62" customFormat="1" x14ac:dyDescent="0.2">
      <c r="C934" s="80"/>
      <c r="D934" s="80"/>
      <c r="E934" s="80"/>
      <c r="F934" s="80"/>
    </row>
    <row r="935" spans="3:6" s="62" customFormat="1" x14ac:dyDescent="0.2">
      <c r="C935" s="80"/>
      <c r="D935" s="80"/>
      <c r="E935" s="80"/>
      <c r="F935" s="80"/>
    </row>
    <row r="936" spans="3:6" s="62" customFormat="1" x14ac:dyDescent="0.2">
      <c r="C936" s="80"/>
      <c r="D936" s="80"/>
      <c r="E936" s="80"/>
      <c r="F936" s="80"/>
    </row>
    <row r="937" spans="3:6" s="62" customFormat="1" x14ac:dyDescent="0.2">
      <c r="C937" s="80"/>
      <c r="D937" s="80"/>
      <c r="E937" s="80"/>
      <c r="F937" s="80"/>
    </row>
    <row r="938" spans="3:6" s="62" customFormat="1" x14ac:dyDescent="0.2">
      <c r="C938" s="80"/>
      <c r="D938" s="80"/>
      <c r="E938" s="80"/>
      <c r="F938" s="80"/>
    </row>
    <row r="939" spans="3:6" s="62" customFormat="1" x14ac:dyDescent="0.2">
      <c r="C939" s="80"/>
      <c r="D939" s="80"/>
      <c r="E939" s="80"/>
      <c r="F939" s="80"/>
    </row>
    <row r="940" spans="3:6" s="62" customFormat="1" x14ac:dyDescent="0.2">
      <c r="C940" s="80"/>
      <c r="D940" s="80"/>
      <c r="E940" s="80"/>
      <c r="F940" s="80"/>
    </row>
    <row r="941" spans="3:6" s="62" customFormat="1" x14ac:dyDescent="0.2">
      <c r="C941" s="80"/>
      <c r="D941" s="80"/>
      <c r="E941" s="80"/>
      <c r="F941" s="80"/>
    </row>
    <row r="942" spans="3:6" s="62" customFormat="1" x14ac:dyDescent="0.2">
      <c r="C942" s="80"/>
      <c r="D942" s="80"/>
      <c r="E942" s="80"/>
      <c r="F942" s="80"/>
    </row>
    <row r="943" spans="3:6" s="62" customFormat="1" x14ac:dyDescent="0.2">
      <c r="C943" s="80"/>
      <c r="D943" s="80"/>
      <c r="E943" s="80"/>
      <c r="F943" s="80"/>
    </row>
    <row r="944" spans="3:6" s="62" customFormat="1" x14ac:dyDescent="0.2">
      <c r="C944" s="80"/>
      <c r="D944" s="80"/>
      <c r="E944" s="80"/>
      <c r="F944" s="80"/>
    </row>
    <row r="945" spans="3:6" s="62" customFormat="1" x14ac:dyDescent="0.2">
      <c r="C945" s="80"/>
      <c r="D945" s="80"/>
      <c r="E945" s="80"/>
      <c r="F945" s="80"/>
    </row>
    <row r="946" spans="3:6" s="62" customFormat="1" x14ac:dyDescent="0.2">
      <c r="C946" s="80"/>
      <c r="D946" s="80"/>
      <c r="E946" s="80"/>
      <c r="F946" s="80"/>
    </row>
    <row r="947" spans="3:6" s="62" customFormat="1" x14ac:dyDescent="0.2">
      <c r="C947" s="80"/>
      <c r="D947" s="80"/>
      <c r="E947" s="80"/>
      <c r="F947" s="80"/>
    </row>
    <row r="948" spans="3:6" s="62" customFormat="1" x14ac:dyDescent="0.2">
      <c r="C948" s="80"/>
      <c r="D948" s="80"/>
      <c r="E948" s="80"/>
      <c r="F948" s="80"/>
    </row>
    <row r="949" spans="3:6" s="62" customFormat="1" x14ac:dyDescent="0.2">
      <c r="C949" s="80"/>
      <c r="D949" s="80"/>
      <c r="E949" s="80"/>
      <c r="F949" s="80"/>
    </row>
    <row r="950" spans="3:6" s="62" customFormat="1" x14ac:dyDescent="0.2">
      <c r="C950" s="80"/>
      <c r="D950" s="80"/>
      <c r="E950" s="80"/>
      <c r="F950" s="80"/>
    </row>
    <row r="951" spans="3:6" s="62" customFormat="1" x14ac:dyDescent="0.2">
      <c r="C951" s="80"/>
      <c r="D951" s="80"/>
      <c r="E951" s="80"/>
      <c r="F951" s="80"/>
    </row>
    <row r="952" spans="3:6" s="62" customFormat="1" x14ac:dyDescent="0.2">
      <c r="C952" s="80"/>
      <c r="D952" s="80"/>
      <c r="E952" s="80"/>
      <c r="F952" s="80"/>
    </row>
    <row r="953" spans="3:6" s="62" customFormat="1" x14ac:dyDescent="0.2">
      <c r="C953" s="80"/>
      <c r="D953" s="80"/>
      <c r="E953" s="80"/>
      <c r="F953" s="80"/>
    </row>
    <row r="954" spans="3:6" s="62" customFormat="1" x14ac:dyDescent="0.2">
      <c r="C954" s="80"/>
      <c r="D954" s="80"/>
      <c r="E954" s="80"/>
      <c r="F954" s="80"/>
    </row>
    <row r="955" spans="3:6" s="62" customFormat="1" x14ac:dyDescent="0.2">
      <c r="C955" s="80"/>
      <c r="D955" s="80"/>
      <c r="E955" s="80"/>
      <c r="F955" s="80"/>
    </row>
    <row r="956" spans="3:6" s="62" customFormat="1" x14ac:dyDescent="0.2">
      <c r="C956" s="80"/>
      <c r="D956" s="80"/>
      <c r="E956" s="80"/>
      <c r="F956" s="80"/>
    </row>
    <row r="957" spans="3:6" s="62" customFormat="1" x14ac:dyDescent="0.2">
      <c r="C957" s="80"/>
      <c r="D957" s="80"/>
      <c r="E957" s="80"/>
      <c r="F957" s="80"/>
    </row>
    <row r="958" spans="3:6" s="62" customFormat="1" x14ac:dyDescent="0.2">
      <c r="C958" s="80"/>
      <c r="D958" s="80"/>
      <c r="E958" s="80"/>
      <c r="F958" s="80"/>
    </row>
    <row r="959" spans="3:6" s="62" customFormat="1" x14ac:dyDescent="0.2">
      <c r="C959" s="80"/>
      <c r="D959" s="80"/>
      <c r="E959" s="80"/>
      <c r="F959" s="80"/>
    </row>
    <row r="960" spans="3:6" s="62" customFormat="1" x14ac:dyDescent="0.2">
      <c r="C960" s="80"/>
      <c r="D960" s="80"/>
      <c r="E960" s="80"/>
      <c r="F960" s="80"/>
    </row>
    <row r="961" spans="3:6" s="62" customFormat="1" x14ac:dyDescent="0.2">
      <c r="C961" s="80"/>
      <c r="D961" s="80"/>
      <c r="E961" s="80"/>
      <c r="F961" s="80"/>
    </row>
    <row r="962" spans="3:6" s="62" customFormat="1" x14ac:dyDescent="0.2">
      <c r="C962" s="80"/>
      <c r="D962" s="80"/>
      <c r="E962" s="80"/>
      <c r="F962" s="80"/>
    </row>
    <row r="963" spans="3:6" s="62" customFormat="1" x14ac:dyDescent="0.2">
      <c r="C963" s="80"/>
      <c r="D963" s="80"/>
      <c r="E963" s="80"/>
      <c r="F963" s="80"/>
    </row>
    <row r="964" spans="3:6" s="62" customFormat="1" x14ac:dyDescent="0.2">
      <c r="C964" s="80"/>
      <c r="D964" s="80"/>
      <c r="E964" s="80"/>
      <c r="F964" s="80"/>
    </row>
    <row r="965" spans="3:6" s="62" customFormat="1" x14ac:dyDescent="0.2">
      <c r="C965" s="80"/>
      <c r="D965" s="80"/>
      <c r="E965" s="80"/>
      <c r="F965" s="80"/>
    </row>
    <row r="966" spans="3:6" s="62" customFormat="1" x14ac:dyDescent="0.2">
      <c r="C966" s="80"/>
      <c r="D966" s="80"/>
      <c r="E966" s="80"/>
      <c r="F966" s="80"/>
    </row>
    <row r="967" spans="3:6" s="62" customFormat="1" x14ac:dyDescent="0.2">
      <c r="C967" s="80"/>
      <c r="D967" s="80"/>
      <c r="E967" s="80"/>
      <c r="F967" s="80"/>
    </row>
    <row r="968" spans="3:6" s="62" customFormat="1" x14ac:dyDescent="0.2">
      <c r="C968" s="80"/>
      <c r="D968" s="80"/>
      <c r="E968" s="80"/>
      <c r="F968" s="80"/>
    </row>
    <row r="969" spans="3:6" s="62" customFormat="1" x14ac:dyDescent="0.2">
      <c r="C969" s="80"/>
      <c r="D969" s="80"/>
      <c r="E969" s="80"/>
      <c r="F969" s="80"/>
    </row>
    <row r="970" spans="3:6" s="62" customFormat="1" x14ac:dyDescent="0.2">
      <c r="C970" s="80"/>
      <c r="D970" s="80"/>
      <c r="E970" s="80"/>
      <c r="F970" s="80"/>
    </row>
    <row r="971" spans="3:6" s="62" customFormat="1" x14ac:dyDescent="0.2">
      <c r="C971" s="80"/>
      <c r="D971" s="80"/>
      <c r="E971" s="80"/>
      <c r="F971" s="80"/>
    </row>
    <row r="972" spans="3:6" s="62" customFormat="1" x14ac:dyDescent="0.2">
      <c r="C972" s="80"/>
      <c r="D972" s="80"/>
      <c r="E972" s="80"/>
      <c r="F972" s="80"/>
    </row>
    <row r="973" spans="3:6" s="62" customFormat="1" x14ac:dyDescent="0.2">
      <c r="C973" s="80"/>
      <c r="D973" s="80"/>
      <c r="E973" s="80"/>
      <c r="F973" s="80"/>
    </row>
    <row r="974" spans="3:6" s="62" customFormat="1" x14ac:dyDescent="0.2">
      <c r="C974" s="80"/>
      <c r="D974" s="80"/>
      <c r="E974" s="80"/>
      <c r="F974" s="80"/>
    </row>
    <row r="975" spans="3:6" s="62" customFormat="1" x14ac:dyDescent="0.2">
      <c r="C975" s="80"/>
      <c r="D975" s="80"/>
      <c r="E975" s="80"/>
      <c r="F975" s="80"/>
    </row>
    <row r="976" spans="3:6" s="62" customFormat="1" x14ac:dyDescent="0.2">
      <c r="C976" s="80"/>
      <c r="D976" s="80"/>
      <c r="E976" s="80"/>
      <c r="F976" s="80"/>
    </row>
    <row r="977" spans="3:6" s="62" customFormat="1" x14ac:dyDescent="0.2">
      <c r="C977" s="80"/>
      <c r="D977" s="80"/>
      <c r="E977" s="80"/>
      <c r="F977" s="80"/>
    </row>
    <row r="978" spans="3:6" s="62" customFormat="1" x14ac:dyDescent="0.2">
      <c r="C978" s="80"/>
      <c r="D978" s="80"/>
      <c r="E978" s="80"/>
      <c r="F978" s="80"/>
    </row>
    <row r="979" spans="3:6" s="62" customFormat="1" x14ac:dyDescent="0.2">
      <c r="C979" s="80"/>
      <c r="D979" s="80"/>
      <c r="E979" s="80"/>
      <c r="F979" s="80"/>
    </row>
    <row r="980" spans="3:6" s="62" customFormat="1" x14ac:dyDescent="0.2">
      <c r="C980" s="80"/>
      <c r="D980" s="80"/>
      <c r="E980" s="80"/>
      <c r="F980" s="80"/>
    </row>
    <row r="981" spans="3:6" s="62" customFormat="1" x14ac:dyDescent="0.2">
      <c r="C981" s="80"/>
      <c r="D981" s="80"/>
      <c r="E981" s="80"/>
      <c r="F981" s="80"/>
    </row>
    <row r="982" spans="3:6" s="62" customFormat="1" x14ac:dyDescent="0.2">
      <c r="C982" s="80"/>
      <c r="D982" s="80"/>
      <c r="E982" s="80"/>
      <c r="F982" s="80"/>
    </row>
    <row r="983" spans="3:6" s="62" customFormat="1" x14ac:dyDescent="0.2">
      <c r="C983" s="80"/>
      <c r="D983" s="80"/>
      <c r="E983" s="80"/>
      <c r="F983" s="80"/>
    </row>
    <row r="984" spans="3:6" s="62" customFormat="1" x14ac:dyDescent="0.2">
      <c r="C984" s="80"/>
      <c r="D984" s="80"/>
      <c r="E984" s="80"/>
      <c r="F984" s="80"/>
    </row>
    <row r="985" spans="3:6" s="62" customFormat="1" x14ac:dyDescent="0.2">
      <c r="C985" s="80"/>
      <c r="D985" s="80"/>
      <c r="E985" s="80"/>
      <c r="F985" s="80"/>
    </row>
    <row r="986" spans="3:6" s="62" customFormat="1" x14ac:dyDescent="0.2">
      <c r="C986" s="80"/>
      <c r="D986" s="80"/>
      <c r="E986" s="80"/>
      <c r="F986" s="80"/>
    </row>
    <row r="987" spans="3:6" s="62" customFormat="1" x14ac:dyDescent="0.2">
      <c r="C987" s="80"/>
      <c r="D987" s="80"/>
      <c r="E987" s="80"/>
      <c r="F987" s="80"/>
    </row>
    <row r="988" spans="3:6" s="62" customFormat="1" x14ac:dyDescent="0.2">
      <c r="C988" s="80"/>
      <c r="D988" s="80"/>
      <c r="E988" s="80"/>
      <c r="F988" s="80"/>
    </row>
    <row r="989" spans="3:6" s="62" customFormat="1" x14ac:dyDescent="0.2">
      <c r="C989" s="80"/>
      <c r="D989" s="80"/>
      <c r="E989" s="80"/>
      <c r="F989" s="80"/>
    </row>
    <row r="990" spans="3:6" s="62" customFormat="1" x14ac:dyDescent="0.2">
      <c r="C990" s="80"/>
      <c r="D990" s="80"/>
      <c r="E990" s="80"/>
      <c r="F990" s="80"/>
    </row>
    <row r="991" spans="3:6" s="62" customFormat="1" x14ac:dyDescent="0.2">
      <c r="C991" s="80"/>
      <c r="D991" s="80"/>
      <c r="E991" s="80"/>
      <c r="F991" s="80"/>
    </row>
    <row r="992" spans="3:6" s="62" customFormat="1" x14ac:dyDescent="0.2">
      <c r="C992" s="80"/>
      <c r="D992" s="80"/>
      <c r="E992" s="80"/>
      <c r="F992" s="80"/>
    </row>
    <row r="993" spans="3:6" s="62" customFormat="1" x14ac:dyDescent="0.2">
      <c r="C993" s="80"/>
      <c r="D993" s="80"/>
      <c r="E993" s="80"/>
      <c r="F993" s="80"/>
    </row>
    <row r="994" spans="3:6" s="62" customFormat="1" x14ac:dyDescent="0.2">
      <c r="C994" s="80"/>
      <c r="D994" s="80"/>
      <c r="E994" s="80"/>
      <c r="F994" s="80"/>
    </row>
    <row r="995" spans="3:6" s="62" customFormat="1" x14ac:dyDescent="0.2">
      <c r="C995" s="80"/>
      <c r="D995" s="80"/>
      <c r="E995" s="80"/>
      <c r="F995" s="80"/>
    </row>
    <row r="996" spans="3:6" s="62" customFormat="1" x14ac:dyDescent="0.2">
      <c r="C996" s="80"/>
      <c r="D996" s="80"/>
      <c r="E996" s="80"/>
      <c r="F996" s="80"/>
    </row>
    <row r="997" spans="3:6" s="62" customFormat="1" x14ac:dyDescent="0.2">
      <c r="C997" s="80"/>
      <c r="D997" s="80"/>
      <c r="E997" s="80"/>
      <c r="F997" s="80"/>
    </row>
    <row r="998" spans="3:6" s="62" customFormat="1" x14ac:dyDescent="0.2">
      <c r="C998" s="80"/>
      <c r="D998" s="80"/>
      <c r="E998" s="80"/>
      <c r="F998" s="80"/>
    </row>
    <row r="999" spans="3:6" s="62" customFormat="1" x14ac:dyDescent="0.2">
      <c r="C999" s="80"/>
      <c r="D999" s="80"/>
      <c r="E999" s="80"/>
      <c r="F999" s="80"/>
    </row>
    <row r="1000" spans="3:6" s="62" customFormat="1" x14ac:dyDescent="0.2">
      <c r="C1000" s="80"/>
      <c r="D1000" s="80"/>
      <c r="E1000" s="80"/>
      <c r="F1000" s="80"/>
    </row>
    <row r="1001" spans="3:6" s="62" customFormat="1" x14ac:dyDescent="0.2">
      <c r="C1001" s="80"/>
      <c r="D1001" s="80"/>
      <c r="E1001" s="80"/>
      <c r="F1001" s="80"/>
    </row>
    <row r="1002" spans="3:6" s="62" customFormat="1" x14ac:dyDescent="0.2">
      <c r="C1002" s="80"/>
      <c r="D1002" s="80"/>
      <c r="E1002" s="80"/>
      <c r="F1002" s="80"/>
    </row>
    <row r="1003" spans="3:6" s="62" customFormat="1" x14ac:dyDescent="0.2">
      <c r="C1003" s="80"/>
      <c r="D1003" s="80"/>
      <c r="E1003" s="80"/>
      <c r="F1003" s="80"/>
    </row>
    <row r="1004" spans="3:6" s="62" customFormat="1" x14ac:dyDescent="0.2">
      <c r="C1004" s="80"/>
      <c r="D1004" s="80"/>
      <c r="E1004" s="80"/>
      <c r="F1004" s="80"/>
    </row>
    <row r="1005" spans="3:6" s="62" customFormat="1" x14ac:dyDescent="0.2">
      <c r="C1005" s="80"/>
      <c r="D1005" s="80"/>
      <c r="E1005" s="80"/>
      <c r="F1005" s="80"/>
    </row>
    <row r="1006" spans="3:6" s="62" customFormat="1" x14ac:dyDescent="0.2">
      <c r="C1006" s="80"/>
      <c r="D1006" s="80"/>
      <c r="E1006" s="80"/>
      <c r="F1006" s="80"/>
    </row>
    <row r="1007" spans="3:6" s="62" customFormat="1" x14ac:dyDescent="0.2">
      <c r="C1007" s="80"/>
      <c r="D1007" s="80"/>
      <c r="E1007" s="80"/>
      <c r="F1007" s="80"/>
    </row>
    <row r="1008" spans="3:6" s="62" customFormat="1" x14ac:dyDescent="0.2">
      <c r="C1008" s="80"/>
      <c r="D1008" s="80"/>
      <c r="E1008" s="80"/>
      <c r="F1008" s="80"/>
    </row>
    <row r="1009" spans="3:6" s="62" customFormat="1" x14ac:dyDescent="0.2">
      <c r="C1009" s="80"/>
      <c r="D1009" s="80"/>
      <c r="E1009" s="80"/>
      <c r="F1009" s="80"/>
    </row>
    <row r="1010" spans="3:6" s="62" customFormat="1" x14ac:dyDescent="0.2">
      <c r="C1010" s="80"/>
      <c r="D1010" s="80"/>
      <c r="E1010" s="80"/>
      <c r="F1010" s="80"/>
    </row>
    <row r="1011" spans="3:6" s="62" customFormat="1" x14ac:dyDescent="0.2">
      <c r="C1011" s="80"/>
      <c r="D1011" s="80"/>
      <c r="E1011" s="80"/>
      <c r="F1011" s="80"/>
    </row>
    <row r="1012" spans="3:6" s="62" customFormat="1" x14ac:dyDescent="0.2">
      <c r="C1012" s="80"/>
      <c r="D1012" s="80"/>
      <c r="E1012" s="80"/>
      <c r="F1012" s="80"/>
    </row>
    <row r="1013" spans="3:6" s="62" customFormat="1" x14ac:dyDescent="0.2">
      <c r="C1013" s="80"/>
      <c r="D1013" s="80"/>
      <c r="E1013" s="80"/>
      <c r="F1013" s="80"/>
    </row>
    <row r="1014" spans="3:6" s="62" customFormat="1" x14ac:dyDescent="0.2">
      <c r="C1014" s="80"/>
      <c r="D1014" s="80"/>
      <c r="E1014" s="80"/>
      <c r="F1014" s="80"/>
    </row>
    <row r="1015" spans="3:6" s="62" customFormat="1" x14ac:dyDescent="0.2">
      <c r="C1015" s="80"/>
      <c r="D1015" s="80"/>
      <c r="E1015" s="80"/>
      <c r="F1015" s="80"/>
    </row>
    <row r="1016" spans="3:6" s="62" customFormat="1" x14ac:dyDescent="0.2">
      <c r="C1016" s="80"/>
      <c r="D1016" s="80"/>
      <c r="E1016" s="80"/>
      <c r="F1016" s="80"/>
    </row>
    <row r="1017" spans="3:6" s="62" customFormat="1" x14ac:dyDescent="0.2">
      <c r="C1017" s="80"/>
      <c r="D1017" s="80"/>
      <c r="E1017" s="80"/>
      <c r="F1017" s="80"/>
    </row>
    <row r="1018" spans="3:6" s="62" customFormat="1" x14ac:dyDescent="0.2">
      <c r="C1018" s="80"/>
      <c r="D1018" s="80"/>
      <c r="E1018" s="80"/>
      <c r="F1018" s="80"/>
    </row>
    <row r="1019" spans="3:6" s="62" customFormat="1" x14ac:dyDescent="0.2">
      <c r="C1019" s="80"/>
      <c r="D1019" s="80"/>
      <c r="E1019" s="80"/>
      <c r="F1019" s="80"/>
    </row>
    <row r="1020" spans="3:6" s="62" customFormat="1" x14ac:dyDescent="0.2">
      <c r="C1020" s="80"/>
      <c r="D1020" s="80"/>
      <c r="E1020" s="80"/>
      <c r="F1020" s="80"/>
    </row>
    <row r="1021" spans="3:6" s="62" customFormat="1" x14ac:dyDescent="0.2">
      <c r="C1021" s="80"/>
      <c r="D1021" s="80"/>
      <c r="E1021" s="80"/>
      <c r="F1021" s="80"/>
    </row>
    <row r="1022" spans="3:6" s="62" customFormat="1" x14ac:dyDescent="0.2">
      <c r="C1022" s="80"/>
      <c r="D1022" s="80"/>
      <c r="E1022" s="80"/>
      <c r="F1022" s="80"/>
    </row>
    <row r="1023" spans="3:6" s="62" customFormat="1" x14ac:dyDescent="0.2">
      <c r="C1023" s="80"/>
      <c r="D1023" s="80"/>
      <c r="E1023" s="80"/>
      <c r="F1023" s="80"/>
    </row>
    <row r="1024" spans="3:6" s="62" customFormat="1" x14ac:dyDescent="0.2">
      <c r="C1024" s="80"/>
      <c r="D1024" s="80"/>
      <c r="E1024" s="80"/>
      <c r="F1024" s="80"/>
    </row>
    <row r="1025" spans="3:6" s="62" customFormat="1" x14ac:dyDescent="0.2">
      <c r="C1025" s="80"/>
      <c r="D1025" s="80"/>
      <c r="E1025" s="80"/>
      <c r="F1025" s="80"/>
    </row>
    <row r="1026" spans="3:6" s="62" customFormat="1" x14ac:dyDescent="0.2">
      <c r="C1026" s="80"/>
      <c r="D1026" s="80"/>
      <c r="E1026" s="80"/>
      <c r="F1026" s="80"/>
    </row>
    <row r="1027" spans="3:6" s="62" customFormat="1" x14ac:dyDescent="0.2">
      <c r="C1027" s="80"/>
      <c r="D1027" s="80"/>
      <c r="E1027" s="80"/>
      <c r="F1027" s="80"/>
    </row>
    <row r="1028" spans="3:6" s="62" customFormat="1" x14ac:dyDescent="0.2">
      <c r="C1028" s="80"/>
      <c r="D1028" s="80"/>
      <c r="E1028" s="80"/>
      <c r="F1028" s="80"/>
    </row>
    <row r="1029" spans="3:6" s="62" customFormat="1" x14ac:dyDescent="0.2">
      <c r="C1029" s="80"/>
      <c r="D1029" s="80"/>
      <c r="E1029" s="80"/>
      <c r="F1029" s="80"/>
    </row>
    <row r="1030" spans="3:6" s="62" customFormat="1" x14ac:dyDescent="0.2">
      <c r="C1030" s="80"/>
      <c r="D1030" s="80"/>
      <c r="E1030" s="80"/>
      <c r="F1030" s="80"/>
    </row>
    <row r="1031" spans="3:6" s="62" customFormat="1" x14ac:dyDescent="0.2">
      <c r="C1031" s="80"/>
      <c r="D1031" s="80"/>
      <c r="E1031" s="80"/>
      <c r="F1031" s="80"/>
    </row>
    <row r="1032" spans="3:6" s="62" customFormat="1" x14ac:dyDescent="0.2">
      <c r="C1032" s="80"/>
      <c r="D1032" s="80"/>
      <c r="E1032" s="80"/>
      <c r="F1032" s="80"/>
    </row>
    <row r="1033" spans="3:6" s="62" customFormat="1" x14ac:dyDescent="0.2">
      <c r="C1033" s="80"/>
      <c r="D1033" s="80"/>
      <c r="E1033" s="80"/>
      <c r="F1033" s="80"/>
    </row>
    <row r="1034" spans="3:6" s="62" customFormat="1" x14ac:dyDescent="0.2">
      <c r="C1034" s="80"/>
      <c r="D1034" s="80"/>
      <c r="E1034" s="80"/>
      <c r="F1034" s="80"/>
    </row>
    <row r="1035" spans="3:6" s="62" customFormat="1" x14ac:dyDescent="0.2">
      <c r="C1035" s="80"/>
      <c r="D1035" s="80"/>
      <c r="E1035" s="80"/>
      <c r="F1035" s="80"/>
    </row>
    <row r="1036" spans="3:6" s="62" customFormat="1" x14ac:dyDescent="0.2">
      <c r="C1036" s="80"/>
      <c r="D1036" s="80"/>
      <c r="E1036" s="80"/>
      <c r="F1036" s="80"/>
    </row>
    <row r="1037" spans="3:6" s="62" customFormat="1" x14ac:dyDescent="0.2">
      <c r="C1037" s="80"/>
      <c r="D1037" s="80"/>
      <c r="E1037" s="80"/>
      <c r="F1037" s="80"/>
    </row>
    <row r="1038" spans="3:6" s="62" customFormat="1" x14ac:dyDescent="0.2">
      <c r="C1038" s="80"/>
      <c r="D1038" s="80"/>
      <c r="E1038" s="80"/>
      <c r="F1038" s="80"/>
    </row>
    <row r="1039" spans="3:6" s="62" customFormat="1" x14ac:dyDescent="0.2">
      <c r="C1039" s="80"/>
      <c r="D1039" s="80"/>
      <c r="E1039" s="80"/>
      <c r="F1039" s="80"/>
    </row>
    <row r="1040" spans="3:6" s="62" customFormat="1" x14ac:dyDescent="0.2">
      <c r="C1040" s="80"/>
      <c r="D1040" s="80"/>
      <c r="E1040" s="80"/>
      <c r="F1040" s="80"/>
    </row>
    <row r="1041" spans="3:6" s="62" customFormat="1" x14ac:dyDescent="0.2">
      <c r="C1041" s="80"/>
      <c r="D1041" s="80"/>
      <c r="E1041" s="80"/>
      <c r="F1041" s="80"/>
    </row>
    <row r="1042" spans="3:6" s="62" customFormat="1" x14ac:dyDescent="0.2">
      <c r="C1042" s="80"/>
      <c r="D1042" s="80"/>
      <c r="E1042" s="80"/>
      <c r="F1042" s="80"/>
    </row>
    <row r="1043" spans="3:6" s="62" customFormat="1" x14ac:dyDescent="0.2">
      <c r="C1043" s="80"/>
      <c r="D1043" s="80"/>
      <c r="E1043" s="80"/>
      <c r="F1043" s="80"/>
    </row>
    <row r="1044" spans="3:6" s="62" customFormat="1" x14ac:dyDescent="0.2">
      <c r="C1044" s="80"/>
      <c r="D1044" s="80"/>
      <c r="E1044" s="80"/>
      <c r="F1044" s="80"/>
    </row>
    <row r="1045" spans="3:6" s="62" customFormat="1" x14ac:dyDescent="0.2">
      <c r="C1045" s="80"/>
      <c r="D1045" s="80"/>
      <c r="E1045" s="80"/>
      <c r="F1045" s="80"/>
    </row>
    <row r="1046" spans="3:6" s="62" customFormat="1" x14ac:dyDescent="0.2">
      <c r="C1046" s="80"/>
      <c r="D1046" s="80"/>
      <c r="E1046" s="80"/>
      <c r="F1046" s="80"/>
    </row>
    <row r="1047" spans="3:6" s="62" customFormat="1" x14ac:dyDescent="0.2">
      <c r="C1047" s="80"/>
      <c r="D1047" s="80"/>
      <c r="E1047" s="80"/>
      <c r="F1047" s="80"/>
    </row>
    <row r="1048" spans="3:6" s="62" customFormat="1" x14ac:dyDescent="0.2">
      <c r="C1048" s="80"/>
      <c r="D1048" s="80"/>
      <c r="E1048" s="80"/>
      <c r="F1048" s="80"/>
    </row>
    <row r="1049" spans="3:6" s="62" customFormat="1" x14ac:dyDescent="0.2">
      <c r="C1049" s="80"/>
      <c r="D1049" s="80"/>
      <c r="E1049" s="80"/>
      <c r="F1049" s="80"/>
    </row>
    <row r="1050" spans="3:6" s="62" customFormat="1" x14ac:dyDescent="0.2">
      <c r="C1050" s="80"/>
      <c r="D1050" s="80"/>
      <c r="E1050" s="80"/>
      <c r="F1050" s="80"/>
    </row>
    <row r="1051" spans="3:6" s="62" customFormat="1" x14ac:dyDescent="0.2">
      <c r="C1051" s="80"/>
      <c r="D1051" s="80"/>
      <c r="E1051" s="80"/>
      <c r="F1051" s="80"/>
    </row>
    <row r="1052" spans="3:6" s="62" customFormat="1" x14ac:dyDescent="0.2">
      <c r="C1052" s="80"/>
      <c r="D1052" s="80"/>
      <c r="E1052" s="80"/>
      <c r="F1052" s="80"/>
    </row>
    <row r="1053" spans="3:6" s="62" customFormat="1" x14ac:dyDescent="0.2">
      <c r="C1053" s="80"/>
      <c r="D1053" s="80"/>
      <c r="E1053" s="80"/>
      <c r="F1053" s="80"/>
    </row>
    <row r="1054" spans="3:6" s="62" customFormat="1" x14ac:dyDescent="0.2">
      <c r="C1054" s="80"/>
      <c r="D1054" s="80"/>
      <c r="E1054" s="80"/>
      <c r="F1054" s="80"/>
    </row>
    <row r="1055" spans="3:6" s="62" customFormat="1" x14ac:dyDescent="0.2">
      <c r="C1055" s="80"/>
      <c r="D1055" s="80"/>
      <c r="E1055" s="80"/>
      <c r="F1055" s="80"/>
    </row>
    <row r="1056" spans="3:6" s="62" customFormat="1" x14ac:dyDescent="0.2">
      <c r="C1056" s="80"/>
      <c r="D1056" s="80"/>
      <c r="E1056" s="80"/>
      <c r="F1056" s="80"/>
    </row>
    <row r="1057" spans="3:6" s="62" customFormat="1" x14ac:dyDescent="0.2">
      <c r="C1057" s="80"/>
      <c r="D1057" s="80"/>
      <c r="E1057" s="80"/>
      <c r="F1057" s="80"/>
    </row>
    <row r="1058" spans="3:6" s="62" customFormat="1" x14ac:dyDescent="0.2">
      <c r="C1058" s="80"/>
      <c r="D1058" s="80"/>
      <c r="E1058" s="80"/>
      <c r="F1058" s="80"/>
    </row>
    <row r="1059" spans="3:6" s="62" customFormat="1" x14ac:dyDescent="0.2">
      <c r="C1059" s="80"/>
      <c r="D1059" s="80"/>
      <c r="E1059" s="80"/>
      <c r="F1059" s="80"/>
    </row>
    <row r="1060" spans="3:6" s="62" customFormat="1" x14ac:dyDescent="0.2">
      <c r="C1060" s="80"/>
      <c r="D1060" s="80"/>
      <c r="E1060" s="80"/>
      <c r="F1060" s="80"/>
    </row>
    <row r="1061" spans="3:6" s="62" customFormat="1" x14ac:dyDescent="0.2">
      <c r="C1061" s="80"/>
      <c r="D1061" s="80"/>
      <c r="E1061" s="80"/>
      <c r="F1061" s="80"/>
    </row>
    <row r="1062" spans="3:6" s="62" customFormat="1" x14ac:dyDescent="0.2">
      <c r="C1062" s="80"/>
      <c r="D1062" s="80"/>
      <c r="E1062" s="80"/>
      <c r="F1062" s="80"/>
    </row>
    <row r="1063" spans="3:6" s="62" customFormat="1" x14ac:dyDescent="0.2">
      <c r="C1063" s="80"/>
      <c r="D1063" s="80"/>
      <c r="E1063" s="80"/>
      <c r="F1063" s="80"/>
    </row>
    <row r="1064" spans="3:6" s="62" customFormat="1" x14ac:dyDescent="0.2">
      <c r="C1064" s="80"/>
      <c r="D1064" s="80"/>
      <c r="E1064" s="80"/>
      <c r="F1064" s="80"/>
    </row>
    <row r="1065" spans="3:6" s="62" customFormat="1" x14ac:dyDescent="0.2">
      <c r="C1065" s="80"/>
      <c r="D1065" s="80"/>
      <c r="E1065" s="80"/>
      <c r="F1065" s="80"/>
    </row>
    <row r="1066" spans="3:6" s="62" customFormat="1" x14ac:dyDescent="0.2">
      <c r="C1066" s="80"/>
      <c r="D1066" s="80"/>
      <c r="E1066" s="80"/>
      <c r="F1066" s="80"/>
    </row>
    <row r="1067" spans="3:6" s="62" customFormat="1" x14ac:dyDescent="0.2">
      <c r="C1067" s="80"/>
      <c r="D1067" s="80"/>
      <c r="E1067" s="80"/>
      <c r="F1067" s="80"/>
    </row>
    <row r="1068" spans="3:6" s="62" customFormat="1" x14ac:dyDescent="0.2">
      <c r="C1068" s="80"/>
      <c r="D1068" s="80"/>
      <c r="E1068" s="80"/>
      <c r="F1068" s="80"/>
    </row>
    <row r="1069" spans="3:6" s="62" customFormat="1" x14ac:dyDescent="0.2">
      <c r="C1069" s="80"/>
      <c r="D1069" s="80"/>
      <c r="E1069" s="80"/>
      <c r="F1069" s="80"/>
    </row>
    <row r="1070" spans="3:6" s="62" customFormat="1" x14ac:dyDescent="0.2">
      <c r="C1070" s="80"/>
      <c r="D1070" s="80"/>
      <c r="E1070" s="80"/>
      <c r="F1070" s="80"/>
    </row>
    <row r="1071" spans="3:6" s="62" customFormat="1" x14ac:dyDescent="0.2">
      <c r="C1071" s="80"/>
      <c r="D1071" s="80"/>
      <c r="E1071" s="80"/>
      <c r="F1071" s="80"/>
    </row>
    <row r="1072" spans="3:6" s="62" customFormat="1" x14ac:dyDescent="0.2">
      <c r="C1072" s="80"/>
      <c r="D1072" s="80"/>
      <c r="E1072" s="80"/>
      <c r="F1072" s="80"/>
    </row>
    <row r="1073" spans="3:6" s="62" customFormat="1" x14ac:dyDescent="0.2">
      <c r="C1073" s="80"/>
      <c r="D1073" s="80"/>
      <c r="E1073" s="80"/>
      <c r="F1073" s="80"/>
    </row>
    <row r="1074" spans="3:6" s="62" customFormat="1" x14ac:dyDescent="0.2">
      <c r="C1074" s="80"/>
      <c r="D1074" s="80"/>
      <c r="E1074" s="80"/>
      <c r="F1074" s="80"/>
    </row>
    <row r="1075" spans="3:6" s="62" customFormat="1" x14ac:dyDescent="0.2">
      <c r="C1075" s="80"/>
      <c r="D1075" s="80"/>
      <c r="E1075" s="80"/>
      <c r="F1075" s="80"/>
    </row>
    <row r="1076" spans="3:6" s="62" customFormat="1" x14ac:dyDescent="0.2">
      <c r="C1076" s="80"/>
      <c r="D1076" s="80"/>
      <c r="E1076" s="80"/>
      <c r="F1076" s="80"/>
    </row>
    <row r="1077" spans="3:6" s="62" customFormat="1" x14ac:dyDescent="0.2">
      <c r="C1077" s="80"/>
      <c r="D1077" s="80"/>
      <c r="E1077" s="80"/>
      <c r="F1077" s="80"/>
    </row>
    <row r="1078" spans="3:6" s="62" customFormat="1" x14ac:dyDescent="0.2">
      <c r="C1078" s="80"/>
      <c r="D1078" s="80"/>
      <c r="E1078" s="80"/>
      <c r="F1078" s="80"/>
    </row>
    <row r="1079" spans="3:6" s="62" customFormat="1" x14ac:dyDescent="0.2">
      <c r="C1079" s="80"/>
      <c r="D1079" s="80"/>
      <c r="E1079" s="80"/>
      <c r="F1079" s="80"/>
    </row>
    <row r="1080" spans="3:6" s="62" customFormat="1" x14ac:dyDescent="0.2">
      <c r="C1080" s="80"/>
      <c r="D1080" s="80"/>
      <c r="E1080" s="80"/>
      <c r="F1080" s="80"/>
    </row>
    <row r="1081" spans="3:6" s="62" customFormat="1" x14ac:dyDescent="0.2">
      <c r="C1081" s="80"/>
      <c r="D1081" s="80"/>
      <c r="E1081" s="80"/>
      <c r="F1081" s="80"/>
    </row>
    <row r="1082" spans="3:6" s="62" customFormat="1" x14ac:dyDescent="0.2">
      <c r="C1082" s="80"/>
      <c r="D1082" s="80"/>
      <c r="E1082" s="80"/>
      <c r="F1082" s="80"/>
    </row>
    <row r="1083" spans="3:6" s="62" customFormat="1" x14ac:dyDescent="0.2">
      <c r="C1083" s="80"/>
      <c r="D1083" s="80"/>
      <c r="E1083" s="80"/>
      <c r="F1083" s="80"/>
    </row>
    <row r="1084" spans="3:6" s="62" customFormat="1" x14ac:dyDescent="0.2">
      <c r="C1084" s="80"/>
      <c r="D1084" s="80"/>
      <c r="E1084" s="80"/>
      <c r="F1084" s="80"/>
    </row>
    <row r="1085" spans="3:6" s="62" customFormat="1" x14ac:dyDescent="0.2">
      <c r="C1085" s="80"/>
      <c r="D1085" s="80"/>
      <c r="E1085" s="80"/>
      <c r="F1085" s="80"/>
    </row>
    <row r="1086" spans="3:6" s="62" customFormat="1" x14ac:dyDescent="0.2">
      <c r="C1086" s="80"/>
      <c r="D1086" s="80"/>
      <c r="E1086" s="80"/>
      <c r="F1086" s="80"/>
    </row>
    <row r="1087" spans="3:6" s="62" customFormat="1" x14ac:dyDescent="0.2">
      <c r="C1087" s="80"/>
      <c r="D1087" s="80"/>
      <c r="E1087" s="80"/>
      <c r="F1087" s="80"/>
    </row>
    <row r="1088" spans="3:6" s="62" customFormat="1" x14ac:dyDescent="0.2">
      <c r="C1088" s="80"/>
      <c r="D1088" s="80"/>
      <c r="E1088" s="80"/>
      <c r="F1088" s="80"/>
    </row>
    <row r="1089" spans="3:6" s="62" customFormat="1" x14ac:dyDescent="0.2">
      <c r="C1089" s="80"/>
      <c r="D1089" s="80"/>
      <c r="E1089" s="80"/>
      <c r="F1089" s="80"/>
    </row>
    <row r="1090" spans="3:6" s="62" customFormat="1" x14ac:dyDescent="0.2">
      <c r="C1090" s="80"/>
      <c r="D1090" s="80"/>
      <c r="E1090" s="80"/>
      <c r="F1090" s="80"/>
    </row>
    <row r="1091" spans="3:6" s="62" customFormat="1" x14ac:dyDescent="0.2">
      <c r="C1091" s="80"/>
      <c r="D1091" s="80"/>
      <c r="E1091" s="80"/>
      <c r="F1091" s="80"/>
    </row>
    <row r="1092" spans="3:6" s="62" customFormat="1" x14ac:dyDescent="0.2">
      <c r="C1092" s="80"/>
      <c r="D1092" s="80"/>
      <c r="E1092" s="80"/>
      <c r="F1092" s="80"/>
    </row>
    <row r="1093" spans="3:6" s="62" customFormat="1" x14ac:dyDescent="0.2">
      <c r="C1093" s="80"/>
      <c r="D1093" s="80"/>
      <c r="E1093" s="80"/>
      <c r="F1093" s="80"/>
    </row>
    <row r="1094" spans="3:6" s="62" customFormat="1" x14ac:dyDescent="0.2">
      <c r="C1094" s="80"/>
      <c r="D1094" s="80"/>
      <c r="E1094" s="80"/>
      <c r="F1094" s="80"/>
    </row>
    <row r="1095" spans="3:6" s="62" customFormat="1" x14ac:dyDescent="0.2">
      <c r="C1095" s="80"/>
      <c r="D1095" s="80"/>
      <c r="E1095" s="80"/>
      <c r="F1095" s="80"/>
    </row>
    <row r="1096" spans="3:6" s="62" customFormat="1" x14ac:dyDescent="0.2">
      <c r="C1096" s="80"/>
      <c r="D1096" s="80"/>
      <c r="E1096" s="80"/>
      <c r="F1096" s="80"/>
    </row>
    <row r="1097" spans="3:6" s="62" customFormat="1" x14ac:dyDescent="0.2">
      <c r="C1097" s="80"/>
      <c r="D1097" s="80"/>
      <c r="E1097" s="80"/>
      <c r="F1097" s="80"/>
    </row>
    <row r="1098" spans="3:6" s="62" customFormat="1" x14ac:dyDescent="0.2">
      <c r="C1098" s="80"/>
      <c r="D1098" s="80"/>
      <c r="E1098" s="80"/>
      <c r="F1098" s="80"/>
    </row>
    <row r="1099" spans="3:6" s="62" customFormat="1" x14ac:dyDescent="0.2">
      <c r="C1099" s="80"/>
      <c r="D1099" s="80"/>
      <c r="E1099" s="80"/>
      <c r="F1099" s="80"/>
    </row>
    <row r="1100" spans="3:6" s="62" customFormat="1" x14ac:dyDescent="0.2">
      <c r="C1100" s="80"/>
      <c r="D1100" s="80"/>
      <c r="E1100" s="80"/>
      <c r="F1100" s="80"/>
    </row>
    <row r="1101" spans="3:6" s="62" customFormat="1" x14ac:dyDescent="0.2">
      <c r="C1101" s="80"/>
      <c r="D1101" s="80"/>
      <c r="E1101" s="80"/>
      <c r="F1101" s="80"/>
    </row>
    <row r="1102" spans="3:6" s="62" customFormat="1" x14ac:dyDescent="0.2">
      <c r="C1102" s="80"/>
      <c r="D1102" s="80"/>
      <c r="E1102" s="80"/>
      <c r="F1102" s="80"/>
    </row>
    <row r="1103" spans="3:6" s="62" customFormat="1" x14ac:dyDescent="0.2">
      <c r="C1103" s="80"/>
      <c r="D1103" s="80"/>
      <c r="E1103" s="80"/>
      <c r="F1103" s="80"/>
    </row>
    <row r="1104" spans="3:6" s="62" customFormat="1" x14ac:dyDescent="0.2">
      <c r="C1104" s="80"/>
      <c r="D1104" s="80"/>
      <c r="E1104" s="80"/>
      <c r="F1104" s="80"/>
    </row>
    <row r="1105" spans="3:6" s="62" customFormat="1" x14ac:dyDescent="0.2">
      <c r="C1105" s="80"/>
      <c r="D1105" s="80"/>
      <c r="E1105" s="80"/>
      <c r="F1105" s="80"/>
    </row>
    <row r="1106" spans="3:6" s="62" customFormat="1" x14ac:dyDescent="0.2">
      <c r="C1106" s="80"/>
      <c r="D1106" s="80"/>
      <c r="E1106" s="80"/>
      <c r="F1106" s="80"/>
    </row>
    <row r="1107" spans="3:6" s="62" customFormat="1" x14ac:dyDescent="0.2">
      <c r="C1107" s="80"/>
      <c r="D1107" s="80"/>
      <c r="E1107" s="80"/>
      <c r="F1107" s="80"/>
    </row>
    <row r="1108" spans="3:6" s="62" customFormat="1" x14ac:dyDescent="0.2">
      <c r="C1108" s="80"/>
      <c r="D1108" s="80"/>
      <c r="E1108" s="80"/>
      <c r="F1108" s="80"/>
    </row>
    <row r="1109" spans="3:6" s="62" customFormat="1" x14ac:dyDescent="0.2">
      <c r="C1109" s="80"/>
      <c r="D1109" s="80"/>
      <c r="E1109" s="80"/>
      <c r="F1109" s="80"/>
    </row>
    <row r="1110" spans="3:6" s="62" customFormat="1" x14ac:dyDescent="0.2">
      <c r="C1110" s="80"/>
      <c r="D1110" s="80"/>
      <c r="E1110" s="80"/>
      <c r="F1110" s="80"/>
    </row>
    <row r="1111" spans="3:6" s="62" customFormat="1" x14ac:dyDescent="0.2">
      <c r="C1111" s="80"/>
      <c r="D1111" s="80"/>
      <c r="E1111" s="80"/>
      <c r="F1111" s="80"/>
    </row>
    <row r="1112" spans="3:6" s="62" customFormat="1" x14ac:dyDescent="0.2">
      <c r="C1112" s="80"/>
      <c r="D1112" s="80"/>
      <c r="E1112" s="80"/>
      <c r="F1112" s="80"/>
    </row>
    <row r="1113" spans="3:6" s="62" customFormat="1" x14ac:dyDescent="0.2">
      <c r="C1113" s="80"/>
      <c r="D1113" s="80"/>
      <c r="E1113" s="80"/>
      <c r="F1113" s="80"/>
    </row>
    <row r="1114" spans="3:6" s="62" customFormat="1" x14ac:dyDescent="0.2">
      <c r="C1114" s="80"/>
      <c r="D1114" s="80"/>
      <c r="E1114" s="80"/>
      <c r="F1114" s="80"/>
    </row>
    <row r="1115" spans="3:6" s="62" customFormat="1" x14ac:dyDescent="0.2">
      <c r="C1115" s="80"/>
      <c r="D1115" s="80"/>
      <c r="E1115" s="80"/>
      <c r="F1115" s="80"/>
    </row>
    <row r="1116" spans="3:6" s="62" customFormat="1" x14ac:dyDescent="0.2">
      <c r="C1116" s="80"/>
      <c r="D1116" s="80"/>
      <c r="E1116" s="80"/>
      <c r="F1116" s="80"/>
    </row>
    <row r="1117" spans="3:6" s="62" customFormat="1" x14ac:dyDescent="0.2">
      <c r="C1117" s="80"/>
      <c r="D1117" s="80"/>
      <c r="E1117" s="80"/>
      <c r="F1117" s="80"/>
    </row>
    <row r="1118" spans="3:6" s="62" customFormat="1" x14ac:dyDescent="0.2">
      <c r="C1118" s="80"/>
      <c r="D1118" s="80"/>
      <c r="E1118" s="80"/>
      <c r="F1118" s="80"/>
    </row>
    <row r="1119" spans="3:6" s="62" customFormat="1" x14ac:dyDescent="0.2">
      <c r="C1119" s="80"/>
      <c r="D1119" s="80"/>
      <c r="E1119" s="80"/>
      <c r="F1119" s="80"/>
    </row>
    <row r="1120" spans="3:6" s="62" customFormat="1" x14ac:dyDescent="0.2">
      <c r="C1120" s="80"/>
      <c r="D1120" s="80"/>
      <c r="E1120" s="80"/>
      <c r="F1120" s="80"/>
    </row>
    <row r="1121" spans="3:6" s="62" customFormat="1" x14ac:dyDescent="0.2">
      <c r="C1121" s="80"/>
      <c r="D1121" s="80"/>
      <c r="E1121" s="80"/>
      <c r="F1121" s="80"/>
    </row>
    <row r="1122" spans="3:6" s="62" customFormat="1" x14ac:dyDescent="0.2">
      <c r="C1122" s="80"/>
      <c r="D1122" s="80"/>
      <c r="E1122" s="80"/>
      <c r="F1122" s="80"/>
    </row>
    <row r="1123" spans="3:6" s="62" customFormat="1" x14ac:dyDescent="0.2">
      <c r="C1123" s="80"/>
      <c r="D1123" s="80"/>
      <c r="E1123" s="80"/>
      <c r="F1123" s="80"/>
    </row>
    <row r="1124" spans="3:6" s="62" customFormat="1" x14ac:dyDescent="0.2">
      <c r="C1124" s="80"/>
      <c r="D1124" s="80"/>
      <c r="E1124" s="80"/>
      <c r="F1124" s="80"/>
    </row>
    <row r="1125" spans="3:6" s="62" customFormat="1" x14ac:dyDescent="0.2">
      <c r="C1125" s="80"/>
      <c r="D1125" s="80"/>
      <c r="E1125" s="80"/>
      <c r="F1125" s="80"/>
    </row>
    <row r="1126" spans="3:6" s="62" customFormat="1" x14ac:dyDescent="0.2">
      <c r="C1126" s="80"/>
      <c r="D1126" s="80"/>
      <c r="E1126" s="80"/>
      <c r="F1126" s="80"/>
    </row>
    <row r="1127" spans="3:6" s="62" customFormat="1" x14ac:dyDescent="0.2">
      <c r="C1127" s="80"/>
      <c r="D1127" s="80"/>
      <c r="E1127" s="80"/>
      <c r="F1127" s="80"/>
    </row>
    <row r="1128" spans="3:6" s="62" customFormat="1" x14ac:dyDescent="0.2">
      <c r="C1128" s="80"/>
      <c r="D1128" s="80"/>
      <c r="E1128" s="80"/>
      <c r="F1128" s="80"/>
    </row>
    <row r="1129" spans="3:6" s="62" customFormat="1" x14ac:dyDescent="0.2">
      <c r="C1129" s="80"/>
      <c r="D1129" s="80"/>
      <c r="E1129" s="80"/>
      <c r="F1129" s="80"/>
    </row>
    <row r="1130" spans="3:6" s="62" customFormat="1" x14ac:dyDescent="0.2">
      <c r="C1130" s="80"/>
      <c r="D1130" s="80"/>
      <c r="E1130" s="80"/>
      <c r="F1130" s="80"/>
    </row>
    <row r="1131" spans="3:6" s="62" customFormat="1" x14ac:dyDescent="0.2">
      <c r="C1131" s="80"/>
      <c r="D1131" s="80"/>
      <c r="E1131" s="80"/>
      <c r="F1131" s="80"/>
    </row>
    <row r="1132" spans="3:6" s="62" customFormat="1" x14ac:dyDescent="0.2">
      <c r="C1132" s="80"/>
      <c r="D1132" s="80"/>
      <c r="E1132" s="80"/>
      <c r="F1132" s="80"/>
    </row>
    <row r="1133" spans="3:6" s="62" customFormat="1" x14ac:dyDescent="0.2">
      <c r="C1133" s="80"/>
      <c r="D1133" s="80"/>
      <c r="E1133" s="80"/>
      <c r="F1133" s="80"/>
    </row>
    <row r="1134" spans="3:6" s="62" customFormat="1" x14ac:dyDescent="0.2">
      <c r="C1134" s="80"/>
      <c r="D1134" s="80"/>
      <c r="E1134" s="80"/>
      <c r="F1134" s="80"/>
    </row>
    <row r="1135" spans="3:6" s="62" customFormat="1" x14ac:dyDescent="0.2">
      <c r="C1135" s="80"/>
      <c r="D1135" s="80"/>
      <c r="E1135" s="80"/>
      <c r="F1135" s="80"/>
    </row>
    <row r="1136" spans="3:6" s="62" customFormat="1" x14ac:dyDescent="0.2">
      <c r="C1136" s="80"/>
      <c r="D1136" s="80"/>
      <c r="E1136" s="80"/>
      <c r="F1136" s="80"/>
    </row>
    <row r="1137" spans="3:6" s="62" customFormat="1" x14ac:dyDescent="0.2">
      <c r="C1137" s="80"/>
      <c r="D1137" s="80"/>
      <c r="E1137" s="80"/>
      <c r="F1137" s="80"/>
    </row>
    <row r="1138" spans="3:6" s="62" customFormat="1" x14ac:dyDescent="0.2">
      <c r="C1138" s="80"/>
      <c r="D1138" s="80"/>
      <c r="E1138" s="80"/>
      <c r="F1138" s="80"/>
    </row>
    <row r="1139" spans="3:6" s="62" customFormat="1" x14ac:dyDescent="0.2">
      <c r="C1139" s="80"/>
      <c r="D1139" s="80"/>
      <c r="E1139" s="80"/>
      <c r="F1139" s="80"/>
    </row>
    <row r="1140" spans="3:6" s="62" customFormat="1" x14ac:dyDescent="0.2">
      <c r="C1140" s="80"/>
      <c r="D1140" s="80"/>
      <c r="E1140" s="80"/>
      <c r="F1140" s="80"/>
    </row>
    <row r="1141" spans="3:6" s="62" customFormat="1" x14ac:dyDescent="0.2">
      <c r="C1141" s="80"/>
      <c r="D1141" s="80"/>
      <c r="E1141" s="80"/>
      <c r="F1141" s="80"/>
    </row>
    <row r="1142" spans="3:6" s="62" customFormat="1" x14ac:dyDescent="0.2">
      <c r="C1142" s="80"/>
      <c r="D1142" s="80"/>
      <c r="E1142" s="80"/>
      <c r="F1142" s="80"/>
    </row>
    <row r="1143" spans="3:6" s="62" customFormat="1" x14ac:dyDescent="0.2">
      <c r="C1143" s="80"/>
      <c r="D1143" s="80"/>
      <c r="E1143" s="80"/>
      <c r="F1143" s="80"/>
    </row>
    <row r="1144" spans="3:6" s="62" customFormat="1" x14ac:dyDescent="0.2">
      <c r="C1144" s="80"/>
      <c r="D1144" s="80"/>
      <c r="E1144" s="80"/>
      <c r="F1144" s="80"/>
    </row>
    <row r="1145" spans="3:6" s="62" customFormat="1" x14ac:dyDescent="0.2">
      <c r="C1145" s="80"/>
      <c r="D1145" s="80"/>
      <c r="E1145" s="80"/>
      <c r="F1145" s="80"/>
    </row>
    <row r="1146" spans="3:6" s="62" customFormat="1" x14ac:dyDescent="0.2">
      <c r="C1146" s="80"/>
      <c r="D1146" s="80"/>
      <c r="E1146" s="80"/>
      <c r="F1146" s="80"/>
    </row>
    <row r="1147" spans="3:6" s="62" customFormat="1" x14ac:dyDescent="0.2">
      <c r="C1147" s="80"/>
      <c r="D1147" s="80"/>
      <c r="E1147" s="80"/>
      <c r="F1147" s="80"/>
    </row>
    <row r="1148" spans="3:6" s="62" customFormat="1" x14ac:dyDescent="0.2">
      <c r="C1148" s="80"/>
      <c r="D1148" s="80"/>
      <c r="E1148" s="80"/>
      <c r="F1148" s="80"/>
    </row>
    <row r="1149" spans="3:6" s="62" customFormat="1" x14ac:dyDescent="0.2">
      <c r="C1149" s="80"/>
      <c r="D1149" s="80"/>
      <c r="E1149" s="80"/>
      <c r="F1149" s="80"/>
    </row>
    <row r="1150" spans="3:6" s="62" customFormat="1" x14ac:dyDescent="0.2">
      <c r="C1150" s="80"/>
      <c r="D1150" s="80"/>
      <c r="E1150" s="80"/>
      <c r="F1150" s="80"/>
    </row>
    <row r="1151" spans="3:6" s="62" customFormat="1" x14ac:dyDescent="0.2">
      <c r="C1151" s="80"/>
      <c r="D1151" s="80"/>
      <c r="E1151" s="80"/>
      <c r="F1151" s="80"/>
    </row>
    <row r="1152" spans="3:6" s="62" customFormat="1" x14ac:dyDescent="0.2">
      <c r="C1152" s="80"/>
      <c r="D1152" s="80"/>
      <c r="E1152" s="80"/>
      <c r="F1152" s="80"/>
    </row>
    <row r="1153" spans="3:6" s="62" customFormat="1" x14ac:dyDescent="0.2">
      <c r="C1153" s="80"/>
      <c r="D1153" s="80"/>
      <c r="E1153" s="80"/>
      <c r="F1153" s="80"/>
    </row>
    <row r="1154" spans="3:6" s="62" customFormat="1" x14ac:dyDescent="0.2">
      <c r="C1154" s="80"/>
      <c r="D1154" s="80"/>
      <c r="E1154" s="80"/>
      <c r="F1154" s="80"/>
    </row>
    <row r="1155" spans="3:6" s="62" customFormat="1" x14ac:dyDescent="0.2">
      <c r="C1155" s="80"/>
      <c r="D1155" s="80"/>
      <c r="E1155" s="80"/>
      <c r="F1155" s="80"/>
    </row>
    <row r="1156" spans="3:6" s="62" customFormat="1" x14ac:dyDescent="0.2">
      <c r="C1156" s="80"/>
      <c r="D1156" s="80"/>
      <c r="E1156" s="80"/>
      <c r="F1156" s="80"/>
    </row>
    <row r="1157" spans="3:6" s="62" customFormat="1" x14ac:dyDescent="0.2">
      <c r="C1157" s="80"/>
      <c r="D1157" s="80"/>
      <c r="E1157" s="80"/>
      <c r="F1157" s="80"/>
    </row>
    <row r="1158" spans="3:6" s="62" customFormat="1" x14ac:dyDescent="0.2">
      <c r="C1158" s="80"/>
      <c r="D1158" s="80"/>
      <c r="E1158" s="80"/>
      <c r="F1158" s="80"/>
    </row>
    <row r="1159" spans="3:6" s="62" customFormat="1" x14ac:dyDescent="0.2">
      <c r="C1159" s="80"/>
      <c r="D1159" s="80"/>
      <c r="E1159" s="80"/>
      <c r="F1159" s="80"/>
    </row>
    <row r="1160" spans="3:6" s="62" customFormat="1" x14ac:dyDescent="0.2">
      <c r="C1160" s="80"/>
      <c r="D1160" s="80"/>
      <c r="E1160" s="80"/>
      <c r="F1160" s="80"/>
    </row>
    <row r="1161" spans="3:6" s="62" customFormat="1" x14ac:dyDescent="0.2">
      <c r="C1161" s="80"/>
      <c r="D1161" s="80"/>
      <c r="E1161" s="80"/>
      <c r="F1161" s="80"/>
    </row>
    <row r="1162" spans="3:6" s="62" customFormat="1" x14ac:dyDescent="0.2">
      <c r="C1162" s="80"/>
      <c r="D1162" s="80"/>
      <c r="E1162" s="80"/>
      <c r="F1162" s="80"/>
    </row>
    <row r="1163" spans="3:6" s="62" customFormat="1" x14ac:dyDescent="0.2">
      <c r="C1163" s="80"/>
      <c r="D1163" s="80"/>
      <c r="E1163" s="80"/>
      <c r="F1163" s="80"/>
    </row>
    <row r="1164" spans="3:6" s="62" customFormat="1" x14ac:dyDescent="0.2">
      <c r="C1164" s="80"/>
      <c r="D1164" s="80"/>
      <c r="E1164" s="80"/>
      <c r="F1164" s="80"/>
    </row>
    <row r="1165" spans="3:6" s="62" customFormat="1" x14ac:dyDescent="0.2">
      <c r="C1165" s="80"/>
      <c r="D1165" s="80"/>
      <c r="E1165" s="80"/>
      <c r="F1165" s="80"/>
    </row>
    <row r="1166" spans="3:6" s="62" customFormat="1" x14ac:dyDescent="0.2">
      <c r="C1166" s="80"/>
      <c r="D1166" s="80"/>
      <c r="E1166" s="80"/>
      <c r="F1166" s="80"/>
    </row>
    <row r="1167" spans="3:6" s="62" customFormat="1" x14ac:dyDescent="0.2">
      <c r="C1167" s="80"/>
      <c r="D1167" s="80"/>
      <c r="E1167" s="80"/>
      <c r="F1167" s="80"/>
    </row>
    <row r="1168" spans="3:6" s="62" customFormat="1" x14ac:dyDescent="0.2">
      <c r="C1168" s="80"/>
      <c r="D1168" s="80"/>
      <c r="E1168" s="80"/>
      <c r="F1168" s="80"/>
    </row>
    <row r="1169" spans="3:6" s="62" customFormat="1" x14ac:dyDescent="0.2">
      <c r="C1169" s="80"/>
      <c r="D1169" s="80"/>
      <c r="E1169" s="80"/>
      <c r="F1169" s="80"/>
    </row>
    <row r="1170" spans="3:6" s="62" customFormat="1" x14ac:dyDescent="0.2">
      <c r="C1170" s="80"/>
      <c r="D1170" s="80"/>
      <c r="E1170" s="80"/>
      <c r="F1170" s="80"/>
    </row>
    <row r="1171" spans="3:6" s="62" customFormat="1" x14ac:dyDescent="0.2">
      <c r="C1171" s="80"/>
      <c r="D1171" s="80"/>
      <c r="E1171" s="80"/>
      <c r="F1171" s="80"/>
    </row>
    <row r="1172" spans="3:6" s="62" customFormat="1" x14ac:dyDescent="0.2">
      <c r="C1172" s="80"/>
      <c r="D1172" s="80"/>
      <c r="E1172" s="80"/>
      <c r="F1172" s="80"/>
    </row>
    <row r="1173" spans="3:6" s="62" customFormat="1" x14ac:dyDescent="0.2">
      <c r="C1173" s="80"/>
      <c r="D1173" s="80"/>
      <c r="E1173" s="80"/>
      <c r="F1173" s="80"/>
    </row>
    <row r="1174" spans="3:6" s="62" customFormat="1" x14ac:dyDescent="0.2">
      <c r="C1174" s="80"/>
      <c r="D1174" s="80"/>
      <c r="E1174" s="80"/>
      <c r="F1174" s="80"/>
    </row>
    <row r="1175" spans="3:6" s="62" customFormat="1" x14ac:dyDescent="0.2">
      <c r="C1175" s="80"/>
      <c r="D1175" s="80"/>
      <c r="E1175" s="80"/>
      <c r="F1175" s="80"/>
    </row>
    <row r="1176" spans="3:6" s="62" customFormat="1" x14ac:dyDescent="0.2">
      <c r="C1176" s="80"/>
      <c r="D1176" s="80"/>
      <c r="E1176" s="80"/>
      <c r="F1176" s="80"/>
    </row>
    <row r="1177" spans="3:6" s="62" customFormat="1" x14ac:dyDescent="0.2">
      <c r="C1177" s="80"/>
      <c r="D1177" s="80"/>
      <c r="E1177" s="80"/>
      <c r="F1177" s="80"/>
    </row>
    <row r="1178" spans="3:6" s="62" customFormat="1" x14ac:dyDescent="0.2">
      <c r="C1178" s="80"/>
      <c r="D1178" s="80"/>
      <c r="E1178" s="80"/>
      <c r="F1178" s="80"/>
    </row>
    <row r="1179" spans="3:6" s="62" customFormat="1" x14ac:dyDescent="0.2">
      <c r="C1179" s="80"/>
      <c r="D1179" s="80"/>
      <c r="E1179" s="80"/>
      <c r="F1179" s="80"/>
    </row>
    <row r="1180" spans="3:6" s="62" customFormat="1" x14ac:dyDescent="0.2">
      <c r="C1180" s="80"/>
      <c r="D1180" s="80"/>
      <c r="E1180" s="80"/>
      <c r="F1180" s="80"/>
    </row>
    <row r="1181" spans="3:6" s="62" customFormat="1" x14ac:dyDescent="0.2">
      <c r="C1181" s="80"/>
      <c r="D1181" s="80"/>
      <c r="E1181" s="80"/>
      <c r="F1181" s="80"/>
    </row>
    <row r="1182" spans="3:6" s="62" customFormat="1" x14ac:dyDescent="0.2">
      <c r="C1182" s="80"/>
      <c r="D1182" s="80"/>
      <c r="E1182" s="80"/>
      <c r="F1182" s="80"/>
    </row>
    <row r="1183" spans="3:6" s="62" customFormat="1" x14ac:dyDescent="0.2">
      <c r="C1183" s="80"/>
      <c r="D1183" s="80"/>
      <c r="E1183" s="80"/>
      <c r="F1183" s="80"/>
    </row>
    <row r="1184" spans="3:6" s="62" customFormat="1" x14ac:dyDescent="0.2">
      <c r="C1184" s="80"/>
      <c r="D1184" s="80"/>
      <c r="E1184" s="80"/>
      <c r="F1184" s="80"/>
    </row>
    <row r="1185" spans="3:6" s="62" customFormat="1" x14ac:dyDescent="0.2">
      <c r="C1185" s="80"/>
      <c r="D1185" s="80"/>
      <c r="E1185" s="80"/>
      <c r="F1185" s="80"/>
    </row>
    <row r="1186" spans="3:6" s="62" customFormat="1" x14ac:dyDescent="0.2">
      <c r="C1186" s="80"/>
      <c r="D1186" s="80"/>
      <c r="E1186" s="80"/>
      <c r="F1186" s="80"/>
    </row>
    <row r="1187" spans="3:6" s="62" customFormat="1" x14ac:dyDescent="0.2">
      <c r="C1187" s="80"/>
      <c r="D1187" s="80"/>
      <c r="E1187" s="80"/>
      <c r="F1187" s="80"/>
    </row>
    <row r="1188" spans="3:6" s="62" customFormat="1" x14ac:dyDescent="0.2">
      <c r="C1188" s="80"/>
      <c r="D1188" s="80"/>
      <c r="E1188" s="80"/>
      <c r="F1188" s="80"/>
    </row>
    <row r="1189" spans="3:6" s="62" customFormat="1" x14ac:dyDescent="0.2">
      <c r="C1189" s="80"/>
      <c r="D1189" s="80"/>
      <c r="E1189" s="80"/>
      <c r="F1189" s="80"/>
    </row>
    <row r="1190" spans="3:6" s="62" customFormat="1" x14ac:dyDescent="0.2">
      <c r="C1190" s="80"/>
      <c r="D1190" s="80"/>
      <c r="E1190" s="80"/>
      <c r="F1190" s="80"/>
    </row>
    <row r="1191" spans="3:6" s="62" customFormat="1" x14ac:dyDescent="0.2">
      <c r="C1191" s="80"/>
      <c r="D1191" s="80"/>
      <c r="E1191" s="80"/>
      <c r="F1191" s="80"/>
    </row>
    <row r="1192" spans="3:6" s="62" customFormat="1" x14ac:dyDescent="0.2">
      <c r="C1192" s="80"/>
      <c r="D1192" s="80"/>
      <c r="E1192" s="80"/>
      <c r="F1192" s="80"/>
    </row>
    <row r="1193" spans="3:6" s="62" customFormat="1" x14ac:dyDescent="0.2">
      <c r="C1193" s="80"/>
      <c r="D1193" s="80"/>
      <c r="E1193" s="80"/>
      <c r="F1193" s="80"/>
    </row>
    <row r="1194" spans="3:6" s="62" customFormat="1" x14ac:dyDescent="0.2">
      <c r="C1194" s="80"/>
      <c r="D1194" s="80"/>
      <c r="E1194" s="80"/>
      <c r="F1194" s="80"/>
    </row>
    <row r="1195" spans="3:6" s="62" customFormat="1" x14ac:dyDescent="0.2">
      <c r="C1195" s="80"/>
      <c r="D1195" s="80"/>
      <c r="E1195" s="80"/>
      <c r="F1195" s="80"/>
    </row>
    <row r="1196" spans="3:6" s="62" customFormat="1" x14ac:dyDescent="0.2">
      <c r="C1196" s="80"/>
      <c r="D1196" s="80"/>
      <c r="E1196" s="80"/>
      <c r="F1196" s="80"/>
    </row>
    <row r="1197" spans="3:6" s="62" customFormat="1" x14ac:dyDescent="0.2">
      <c r="C1197" s="80"/>
      <c r="D1197" s="80"/>
      <c r="E1197" s="80"/>
      <c r="F1197" s="80"/>
    </row>
    <row r="1198" spans="3:6" s="62" customFormat="1" x14ac:dyDescent="0.2">
      <c r="C1198" s="80"/>
      <c r="D1198" s="80"/>
      <c r="E1198" s="80"/>
      <c r="F1198" s="80"/>
    </row>
    <row r="1199" spans="3:6" s="62" customFormat="1" x14ac:dyDescent="0.2">
      <c r="C1199" s="80"/>
      <c r="D1199" s="80"/>
      <c r="E1199" s="80"/>
      <c r="F1199" s="80"/>
    </row>
    <row r="1200" spans="3:6" s="62" customFormat="1" x14ac:dyDescent="0.2">
      <c r="C1200" s="80"/>
      <c r="D1200" s="80"/>
      <c r="E1200" s="80"/>
      <c r="F1200" s="80"/>
    </row>
    <row r="1201" spans="3:6" s="62" customFormat="1" x14ac:dyDescent="0.2">
      <c r="C1201" s="80"/>
      <c r="D1201" s="80"/>
      <c r="E1201" s="80"/>
      <c r="F1201" s="80"/>
    </row>
    <row r="1202" spans="3:6" s="62" customFormat="1" x14ac:dyDescent="0.2">
      <c r="C1202" s="80"/>
      <c r="D1202" s="80"/>
      <c r="E1202" s="80"/>
      <c r="F1202" s="80"/>
    </row>
    <row r="1203" spans="3:6" s="62" customFormat="1" x14ac:dyDescent="0.2">
      <c r="C1203" s="80"/>
      <c r="D1203" s="80"/>
      <c r="E1203" s="80"/>
      <c r="F1203" s="80"/>
    </row>
    <row r="1204" spans="3:6" s="62" customFormat="1" x14ac:dyDescent="0.2">
      <c r="C1204" s="80"/>
      <c r="D1204" s="80"/>
      <c r="E1204" s="80"/>
      <c r="F1204" s="80"/>
    </row>
    <row r="1205" spans="3:6" s="62" customFormat="1" x14ac:dyDescent="0.2">
      <c r="C1205" s="80"/>
      <c r="D1205" s="80"/>
      <c r="E1205" s="80"/>
      <c r="F1205" s="80"/>
    </row>
    <row r="1206" spans="3:6" s="62" customFormat="1" x14ac:dyDescent="0.2">
      <c r="C1206" s="80"/>
      <c r="D1206" s="80"/>
      <c r="E1206" s="80"/>
      <c r="F1206" s="80"/>
    </row>
    <row r="1207" spans="3:6" s="62" customFormat="1" x14ac:dyDescent="0.2">
      <c r="C1207" s="80"/>
      <c r="D1207" s="80"/>
      <c r="E1207" s="80"/>
      <c r="F1207" s="80"/>
    </row>
    <row r="1208" spans="3:6" s="62" customFormat="1" x14ac:dyDescent="0.2">
      <c r="C1208" s="80"/>
      <c r="D1208" s="80"/>
      <c r="E1208" s="80"/>
      <c r="F1208" s="80"/>
    </row>
    <row r="1209" spans="3:6" s="62" customFormat="1" x14ac:dyDescent="0.2">
      <c r="C1209" s="80"/>
      <c r="D1209" s="80"/>
      <c r="E1209" s="80"/>
      <c r="F1209" s="80"/>
    </row>
    <row r="1210" spans="3:6" s="62" customFormat="1" x14ac:dyDescent="0.2">
      <c r="C1210" s="80"/>
      <c r="D1210" s="80"/>
      <c r="E1210" s="80"/>
      <c r="F1210" s="80"/>
    </row>
    <row r="1211" spans="3:6" s="62" customFormat="1" x14ac:dyDescent="0.2">
      <c r="C1211" s="80"/>
      <c r="D1211" s="80"/>
      <c r="E1211" s="80"/>
      <c r="F1211" s="80"/>
    </row>
    <row r="1212" spans="3:6" s="62" customFormat="1" x14ac:dyDescent="0.2">
      <c r="C1212" s="80"/>
      <c r="D1212" s="80"/>
      <c r="E1212" s="80"/>
      <c r="F1212" s="80"/>
    </row>
    <row r="1213" spans="3:6" s="62" customFormat="1" x14ac:dyDescent="0.2">
      <c r="C1213" s="80"/>
      <c r="D1213" s="80"/>
      <c r="E1213" s="80"/>
      <c r="F1213" s="80"/>
    </row>
    <row r="1214" spans="3:6" s="62" customFormat="1" x14ac:dyDescent="0.2">
      <c r="C1214" s="80"/>
      <c r="D1214" s="80"/>
      <c r="E1214" s="80"/>
      <c r="F1214" s="80"/>
    </row>
    <row r="1215" spans="3:6" s="62" customFormat="1" x14ac:dyDescent="0.2">
      <c r="C1215" s="80"/>
      <c r="D1215" s="80"/>
      <c r="E1215" s="80"/>
      <c r="F1215" s="80"/>
    </row>
    <row r="1216" spans="3:6" s="62" customFormat="1" x14ac:dyDescent="0.2">
      <c r="C1216" s="80"/>
      <c r="D1216" s="80"/>
      <c r="E1216" s="80"/>
      <c r="F1216" s="80"/>
    </row>
    <row r="1217" spans="3:6" s="62" customFormat="1" x14ac:dyDescent="0.2">
      <c r="C1217" s="80"/>
      <c r="D1217" s="80"/>
      <c r="E1217" s="80"/>
      <c r="F1217" s="80"/>
    </row>
    <row r="1218" spans="3:6" s="62" customFormat="1" x14ac:dyDescent="0.2">
      <c r="C1218" s="80"/>
      <c r="D1218" s="80"/>
      <c r="E1218" s="80"/>
      <c r="F1218" s="80"/>
    </row>
    <row r="1219" spans="3:6" s="62" customFormat="1" x14ac:dyDescent="0.2">
      <c r="C1219" s="80"/>
      <c r="D1219" s="80"/>
      <c r="E1219" s="80"/>
      <c r="F1219" s="80"/>
    </row>
    <row r="1220" spans="3:6" s="62" customFormat="1" x14ac:dyDescent="0.2">
      <c r="C1220" s="80"/>
      <c r="D1220" s="80"/>
      <c r="E1220" s="80"/>
      <c r="F1220" s="80"/>
    </row>
    <row r="1221" spans="3:6" s="62" customFormat="1" x14ac:dyDescent="0.2">
      <c r="C1221" s="80"/>
      <c r="D1221" s="80"/>
      <c r="E1221" s="80"/>
      <c r="F1221" s="80"/>
    </row>
    <row r="1222" spans="3:6" s="62" customFormat="1" x14ac:dyDescent="0.2">
      <c r="C1222" s="80"/>
      <c r="D1222" s="80"/>
      <c r="E1222" s="80"/>
      <c r="F1222" s="80"/>
    </row>
    <row r="1223" spans="3:6" s="62" customFormat="1" x14ac:dyDescent="0.2">
      <c r="C1223" s="80"/>
      <c r="D1223" s="80"/>
      <c r="E1223" s="80"/>
      <c r="F1223" s="80"/>
    </row>
    <row r="1224" spans="3:6" s="62" customFormat="1" x14ac:dyDescent="0.2">
      <c r="C1224" s="80"/>
      <c r="D1224" s="80"/>
      <c r="E1224" s="80"/>
      <c r="F1224" s="80"/>
    </row>
    <row r="1225" spans="3:6" s="62" customFormat="1" x14ac:dyDescent="0.2">
      <c r="C1225" s="80"/>
      <c r="D1225" s="80"/>
      <c r="E1225" s="80"/>
      <c r="F1225" s="80"/>
    </row>
    <row r="1226" spans="3:6" s="62" customFormat="1" x14ac:dyDescent="0.2">
      <c r="C1226" s="80"/>
      <c r="D1226" s="80"/>
      <c r="E1226" s="80"/>
      <c r="F1226" s="80"/>
    </row>
    <row r="1227" spans="3:6" s="62" customFormat="1" x14ac:dyDescent="0.2">
      <c r="C1227" s="80"/>
      <c r="D1227" s="80"/>
      <c r="E1227" s="80"/>
      <c r="F1227" s="80"/>
    </row>
    <row r="1228" spans="3:6" s="62" customFormat="1" x14ac:dyDescent="0.2">
      <c r="C1228" s="80"/>
      <c r="D1228" s="80"/>
      <c r="E1228" s="80"/>
      <c r="F1228" s="80"/>
    </row>
    <row r="1229" spans="3:6" s="62" customFormat="1" x14ac:dyDescent="0.2">
      <c r="C1229" s="80"/>
      <c r="D1229" s="80"/>
      <c r="E1229" s="80"/>
      <c r="F1229" s="80"/>
    </row>
    <row r="1230" spans="3:6" s="62" customFormat="1" x14ac:dyDescent="0.2">
      <c r="C1230" s="80"/>
      <c r="D1230" s="80"/>
      <c r="E1230" s="80"/>
      <c r="F1230" s="80"/>
    </row>
    <row r="1231" spans="3:6" s="62" customFormat="1" x14ac:dyDescent="0.2">
      <c r="C1231" s="80"/>
      <c r="D1231" s="80"/>
      <c r="E1231" s="80"/>
      <c r="F1231" s="80"/>
    </row>
    <row r="1232" spans="3:6" s="62" customFormat="1" x14ac:dyDescent="0.2">
      <c r="C1232" s="80"/>
      <c r="D1232" s="80"/>
      <c r="E1232" s="80"/>
      <c r="F1232" s="80"/>
    </row>
    <row r="1233" spans="3:6" s="62" customFormat="1" x14ac:dyDescent="0.2">
      <c r="C1233" s="80"/>
      <c r="D1233" s="80"/>
      <c r="E1233" s="80"/>
      <c r="F1233" s="80"/>
    </row>
    <row r="1234" spans="3:6" s="62" customFormat="1" x14ac:dyDescent="0.2">
      <c r="C1234" s="80"/>
      <c r="D1234" s="80"/>
      <c r="E1234" s="80"/>
      <c r="F1234" s="80"/>
    </row>
    <row r="1235" spans="3:6" s="62" customFormat="1" x14ac:dyDescent="0.2">
      <c r="C1235" s="80"/>
      <c r="D1235" s="80"/>
      <c r="E1235" s="80"/>
      <c r="F1235" s="80"/>
    </row>
    <row r="1236" spans="3:6" s="62" customFormat="1" x14ac:dyDescent="0.2">
      <c r="C1236" s="80"/>
      <c r="D1236" s="80"/>
      <c r="E1236" s="80"/>
      <c r="F1236" s="80"/>
    </row>
    <row r="1237" spans="3:6" s="62" customFormat="1" x14ac:dyDescent="0.2">
      <c r="C1237" s="80"/>
      <c r="D1237" s="80"/>
      <c r="E1237" s="80"/>
      <c r="F1237" s="80"/>
    </row>
    <row r="1238" spans="3:6" s="62" customFormat="1" x14ac:dyDescent="0.2">
      <c r="C1238" s="80"/>
      <c r="D1238" s="80"/>
      <c r="E1238" s="80"/>
      <c r="F1238" s="80"/>
    </row>
    <row r="1239" spans="3:6" s="62" customFormat="1" x14ac:dyDescent="0.2">
      <c r="C1239" s="80"/>
      <c r="D1239" s="80"/>
      <c r="E1239" s="80"/>
      <c r="F1239" s="80"/>
    </row>
    <row r="1240" spans="3:6" s="62" customFormat="1" x14ac:dyDescent="0.2">
      <c r="C1240" s="80"/>
      <c r="D1240" s="80"/>
      <c r="E1240" s="80"/>
      <c r="F1240" s="80"/>
    </row>
    <row r="1241" spans="3:6" s="62" customFormat="1" x14ac:dyDescent="0.2">
      <c r="C1241" s="80"/>
      <c r="D1241" s="80"/>
      <c r="E1241" s="80"/>
      <c r="F1241" s="80"/>
    </row>
    <row r="1242" spans="3:6" s="62" customFormat="1" x14ac:dyDescent="0.2">
      <c r="C1242" s="80"/>
      <c r="D1242" s="80"/>
      <c r="E1242" s="80"/>
      <c r="F1242" s="80"/>
    </row>
    <row r="1243" spans="3:6" s="62" customFormat="1" x14ac:dyDescent="0.2">
      <c r="C1243" s="80"/>
      <c r="D1243" s="80"/>
      <c r="E1243" s="80"/>
      <c r="F1243" s="80"/>
    </row>
    <row r="1244" spans="3:6" s="62" customFormat="1" x14ac:dyDescent="0.2">
      <c r="C1244" s="80"/>
      <c r="D1244" s="80"/>
      <c r="E1244" s="80"/>
      <c r="F1244" s="80"/>
    </row>
    <row r="1245" spans="3:6" s="62" customFormat="1" x14ac:dyDescent="0.2">
      <c r="C1245" s="80"/>
      <c r="D1245" s="80"/>
      <c r="E1245" s="80"/>
      <c r="F1245" s="80"/>
    </row>
    <row r="1246" spans="3:6" s="62" customFormat="1" x14ac:dyDescent="0.2">
      <c r="C1246" s="80"/>
      <c r="D1246" s="80"/>
      <c r="E1246" s="80"/>
      <c r="F1246" s="80"/>
    </row>
    <row r="1247" spans="3:6" s="62" customFormat="1" x14ac:dyDescent="0.2">
      <c r="C1247" s="80"/>
      <c r="D1247" s="80"/>
      <c r="E1247" s="80"/>
      <c r="F1247" s="80"/>
    </row>
    <row r="1248" spans="3:6" s="62" customFormat="1" x14ac:dyDescent="0.2">
      <c r="C1248" s="80"/>
      <c r="D1248" s="80"/>
      <c r="E1248" s="80"/>
      <c r="F1248" s="80"/>
    </row>
    <row r="1249" spans="3:6" s="62" customFormat="1" x14ac:dyDescent="0.2">
      <c r="C1249" s="80"/>
      <c r="D1249" s="80"/>
      <c r="E1249" s="80"/>
      <c r="F1249" s="80"/>
    </row>
    <row r="1250" spans="3:6" s="62" customFormat="1" x14ac:dyDescent="0.2">
      <c r="C1250" s="80"/>
      <c r="D1250" s="80"/>
      <c r="E1250" s="80"/>
      <c r="F1250" s="80"/>
    </row>
    <row r="1251" spans="3:6" s="62" customFormat="1" x14ac:dyDescent="0.2">
      <c r="C1251" s="80"/>
      <c r="D1251" s="80"/>
      <c r="E1251" s="80"/>
      <c r="F1251" s="80"/>
    </row>
    <row r="1252" spans="3:6" s="62" customFormat="1" x14ac:dyDescent="0.2">
      <c r="C1252" s="80"/>
      <c r="D1252" s="80"/>
      <c r="E1252" s="80"/>
      <c r="F1252" s="80"/>
    </row>
    <row r="1253" spans="3:6" s="62" customFormat="1" x14ac:dyDescent="0.2">
      <c r="C1253" s="80"/>
      <c r="D1253" s="80"/>
      <c r="E1253" s="80"/>
      <c r="F1253" s="80"/>
    </row>
    <row r="1254" spans="3:6" s="62" customFormat="1" x14ac:dyDescent="0.2">
      <c r="C1254" s="80"/>
      <c r="D1254" s="80"/>
      <c r="E1254" s="80"/>
      <c r="F1254" s="80"/>
    </row>
    <row r="1255" spans="3:6" s="62" customFormat="1" x14ac:dyDescent="0.2">
      <c r="C1255" s="80"/>
      <c r="D1255" s="80"/>
      <c r="E1255" s="80"/>
      <c r="F1255" s="80"/>
    </row>
    <row r="1256" spans="3:6" s="62" customFormat="1" x14ac:dyDescent="0.2">
      <c r="C1256" s="80"/>
      <c r="D1256" s="80"/>
      <c r="E1256" s="80"/>
      <c r="F1256" s="80"/>
    </row>
    <row r="1257" spans="3:6" s="62" customFormat="1" x14ac:dyDescent="0.2">
      <c r="C1257" s="80"/>
      <c r="D1257" s="80"/>
      <c r="E1257" s="80"/>
      <c r="F1257" s="80"/>
    </row>
    <row r="1258" spans="3:6" s="62" customFormat="1" x14ac:dyDescent="0.2">
      <c r="C1258" s="80"/>
      <c r="D1258" s="80"/>
      <c r="E1258" s="80"/>
      <c r="F1258" s="80"/>
    </row>
    <row r="1259" spans="3:6" s="62" customFormat="1" x14ac:dyDescent="0.2">
      <c r="C1259" s="80"/>
      <c r="D1259" s="80"/>
      <c r="E1259" s="80"/>
      <c r="F1259" s="80"/>
    </row>
    <row r="1260" spans="3:6" s="62" customFormat="1" x14ac:dyDescent="0.2">
      <c r="C1260" s="80"/>
      <c r="D1260" s="80"/>
      <c r="E1260" s="80"/>
      <c r="F1260" s="80"/>
    </row>
    <row r="1261" spans="3:6" s="62" customFormat="1" x14ac:dyDescent="0.2">
      <c r="C1261" s="80"/>
      <c r="D1261" s="80"/>
      <c r="E1261" s="80"/>
      <c r="F1261" s="80"/>
    </row>
    <row r="1262" spans="3:6" s="62" customFormat="1" x14ac:dyDescent="0.2">
      <c r="C1262" s="80"/>
      <c r="D1262" s="80"/>
      <c r="E1262" s="80"/>
      <c r="F1262" s="80"/>
    </row>
    <row r="1263" spans="3:6" s="62" customFormat="1" x14ac:dyDescent="0.2">
      <c r="C1263" s="80"/>
      <c r="D1263" s="80"/>
      <c r="E1263" s="80"/>
      <c r="F1263" s="80"/>
    </row>
  </sheetData>
  <sheetProtection algorithmName="SHA-512" hashValue="3ov5eoOLTYsBH00QF949UIUTxM4/C4pcK12ksDhf1wuoIpQoigIKmDK+8ys+Vy/MjMGr3ZRUgP2WiAvyQPPtuw==" saltValue="Agg2k45beUQWzEvpvBDb7A==" spinCount="100000" sheet="1" objects="1" scenarios="1" selectLockedCells="1" selectUnlockedCells="1"/>
  <mergeCells count="17">
    <mergeCell ref="A411:A414"/>
    <mergeCell ref="A100:A239"/>
    <mergeCell ref="A32:A98"/>
    <mergeCell ref="A6:A30"/>
    <mergeCell ref="A2:A4"/>
    <mergeCell ref="A241:A409"/>
    <mergeCell ref="A416:A427"/>
    <mergeCell ref="A729:A816"/>
    <mergeCell ref="A719:A726"/>
    <mergeCell ref="A713:A718"/>
    <mergeCell ref="A686:A712"/>
    <mergeCell ref="A680:A685"/>
    <mergeCell ref="A646:A679"/>
    <mergeCell ref="A559:A645"/>
    <mergeCell ref="A500:A557"/>
    <mergeCell ref="A479:A498"/>
    <mergeCell ref="A429:A47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9"/>
  <dimension ref="A1:E37"/>
  <sheetViews>
    <sheetView workbookViewId="0">
      <selection activeCell="B4" sqref="B4"/>
    </sheetView>
  </sheetViews>
  <sheetFormatPr defaultColWidth="8.85546875" defaultRowHeight="15" x14ac:dyDescent="0.25"/>
  <cols>
    <col min="1" max="1" width="22.7109375" style="4" customWidth="1"/>
    <col min="2" max="2" width="22.85546875" style="4" customWidth="1"/>
    <col min="3" max="3" width="8.85546875" style="4"/>
    <col min="4" max="5" width="9.42578125" style="4" bestFit="1" customWidth="1"/>
    <col min="6" max="16384" width="8.85546875" style="4"/>
  </cols>
  <sheetData>
    <row r="1" spans="1:5" x14ac:dyDescent="0.25">
      <c r="A1" s="180" t="s">
        <v>107</v>
      </c>
      <c r="B1" s="179" t="s">
        <v>122</v>
      </c>
      <c r="C1" s="85"/>
    </row>
    <row r="2" spans="1:5" x14ac:dyDescent="0.25">
      <c r="A2" s="181">
        <v>1E-3</v>
      </c>
      <c r="B2" s="177">
        <v>4078</v>
      </c>
    </row>
    <row r="3" spans="1:5" x14ac:dyDescent="0.25">
      <c r="A3" s="181">
        <v>1.5E-3</v>
      </c>
      <c r="B3" s="177">
        <v>1376</v>
      </c>
      <c r="D3" s="176"/>
      <c r="E3" s="176"/>
    </row>
    <row r="4" spans="1:5" x14ac:dyDescent="0.25">
      <c r="A4" s="181">
        <v>2E-3</v>
      </c>
      <c r="B4" s="177">
        <v>617.29999999999995</v>
      </c>
    </row>
    <row r="5" spans="1:5" x14ac:dyDescent="0.25">
      <c r="A5" s="181">
        <v>3.0000000000000001E-3</v>
      </c>
      <c r="B5" s="177">
        <v>192.9</v>
      </c>
    </row>
    <row r="6" spans="1:5" x14ac:dyDescent="0.25">
      <c r="A6" s="181">
        <v>4.0000000000000001E-3</v>
      </c>
      <c r="B6" s="177">
        <v>82.78</v>
      </c>
    </row>
    <row r="7" spans="1:5" x14ac:dyDescent="0.25">
      <c r="A7" s="181">
        <v>5.0000000000000001E-3</v>
      </c>
      <c r="B7" s="177">
        <v>42.58</v>
      </c>
    </row>
    <row r="8" spans="1:5" x14ac:dyDescent="0.25">
      <c r="A8" s="181">
        <v>6.0000000000000001E-3</v>
      </c>
      <c r="B8" s="177">
        <v>24.64</v>
      </c>
    </row>
    <row r="9" spans="1:5" x14ac:dyDescent="0.25">
      <c r="A9" s="181">
        <v>8.0000000000000002E-3</v>
      </c>
      <c r="B9" s="177">
        <v>10.37</v>
      </c>
    </row>
    <row r="10" spans="1:5" x14ac:dyDescent="0.25">
      <c r="A10" s="181">
        <v>0.01</v>
      </c>
      <c r="B10" s="177">
        <v>5.3289999999999997</v>
      </c>
    </row>
    <row r="11" spans="1:5" x14ac:dyDescent="0.25">
      <c r="A11" s="181">
        <v>1.4999999999999999E-2</v>
      </c>
      <c r="B11" s="177">
        <v>1.673</v>
      </c>
      <c r="D11" s="5"/>
    </row>
    <row r="12" spans="1:5" x14ac:dyDescent="0.25">
      <c r="A12" s="181">
        <v>0.02</v>
      </c>
      <c r="B12" s="177">
        <v>0.80959999999999999</v>
      </c>
    </row>
    <row r="13" spans="1:5" x14ac:dyDescent="0.25">
      <c r="A13" s="181">
        <v>0.03</v>
      </c>
      <c r="B13" s="177">
        <v>0.37559999999999999</v>
      </c>
    </row>
    <row r="14" spans="1:5" x14ac:dyDescent="0.25">
      <c r="A14" s="181">
        <v>0.04</v>
      </c>
      <c r="B14" s="177">
        <v>0.26829999999999998</v>
      </c>
    </row>
    <row r="15" spans="1:5" x14ac:dyDescent="0.25">
      <c r="A15" s="181">
        <v>0.05</v>
      </c>
      <c r="B15" s="177">
        <v>0.22689999999999999</v>
      </c>
    </row>
    <row r="16" spans="1:5" x14ac:dyDescent="0.25">
      <c r="A16" s="181">
        <v>0.06</v>
      </c>
      <c r="B16" s="177">
        <v>0.2059</v>
      </c>
    </row>
    <row r="17" spans="1:2" x14ac:dyDescent="0.25">
      <c r="A17" s="181">
        <v>0.08</v>
      </c>
      <c r="B17" s="177">
        <v>0.1837</v>
      </c>
    </row>
    <row r="18" spans="1:2" x14ac:dyDescent="0.25">
      <c r="A18" s="181">
        <v>0.1</v>
      </c>
      <c r="B18" s="177">
        <v>0.17069999999999999</v>
      </c>
    </row>
    <row r="19" spans="1:2" x14ac:dyDescent="0.25">
      <c r="A19" s="181">
        <v>0.15</v>
      </c>
      <c r="B19" s="177">
        <v>0.15049999999999999</v>
      </c>
    </row>
    <row r="20" spans="1:2" x14ac:dyDescent="0.25">
      <c r="A20" s="181">
        <v>0.2</v>
      </c>
      <c r="B20" s="177">
        <v>0.13700000000000001</v>
      </c>
    </row>
    <row r="21" spans="1:2" x14ac:dyDescent="0.25">
      <c r="A21" s="181">
        <v>0.3</v>
      </c>
      <c r="B21" s="177">
        <v>0.1186</v>
      </c>
    </row>
    <row r="22" spans="1:2" x14ac:dyDescent="0.25">
      <c r="A22" s="181">
        <v>0.4</v>
      </c>
      <c r="B22" s="177">
        <v>0.1061</v>
      </c>
    </row>
    <row r="23" spans="1:2" x14ac:dyDescent="0.25">
      <c r="A23" s="181">
        <v>0.5</v>
      </c>
      <c r="B23" s="177">
        <v>9.6869999999999998E-2</v>
      </c>
    </row>
    <row r="24" spans="1:2" x14ac:dyDescent="0.25">
      <c r="A24" s="181">
        <v>0.6</v>
      </c>
      <c r="B24" s="177">
        <v>8.9560000000000001E-2</v>
      </c>
    </row>
    <row r="25" spans="1:2" x14ac:dyDescent="0.25">
      <c r="A25" s="181">
        <v>0.8</v>
      </c>
      <c r="B25" s="177">
        <v>7.8649999999999998E-2</v>
      </c>
    </row>
    <row r="26" spans="1:2" x14ac:dyDescent="0.25">
      <c r="A26" s="181">
        <v>1</v>
      </c>
      <c r="B26" s="177">
        <v>7.0720000000000005E-2</v>
      </c>
    </row>
    <row r="27" spans="1:2" x14ac:dyDescent="0.25">
      <c r="A27" s="181">
        <v>1.25</v>
      </c>
      <c r="B27" s="177">
        <v>6.3229999999999995E-2</v>
      </c>
    </row>
    <row r="28" spans="1:2" x14ac:dyDescent="0.25">
      <c r="A28" s="181">
        <v>1.5</v>
      </c>
      <c r="B28" s="177">
        <v>5.7540000000000001E-2</v>
      </c>
    </row>
    <row r="29" spans="1:2" x14ac:dyDescent="0.25">
      <c r="A29" s="181">
        <v>2</v>
      </c>
      <c r="B29" s="177">
        <v>4.9419999999999999E-2</v>
      </c>
    </row>
    <row r="30" spans="1:2" x14ac:dyDescent="0.25">
      <c r="A30" s="181">
        <v>3</v>
      </c>
      <c r="B30" s="177">
        <v>3.9690000000000003E-2</v>
      </c>
    </row>
    <row r="31" spans="1:2" x14ac:dyDescent="0.25">
      <c r="A31" s="181">
        <v>4</v>
      </c>
      <c r="B31" s="177">
        <v>3.4029999999999998E-2</v>
      </c>
    </row>
    <row r="32" spans="1:2" x14ac:dyDescent="0.25">
      <c r="A32" s="181">
        <v>5</v>
      </c>
      <c r="B32" s="177">
        <v>3.031E-2</v>
      </c>
    </row>
    <row r="33" spans="1:2" x14ac:dyDescent="0.25">
      <c r="A33" s="181">
        <v>6</v>
      </c>
      <c r="B33" s="177">
        <v>2.7699999999999999E-2</v>
      </c>
    </row>
    <row r="34" spans="1:2" x14ac:dyDescent="0.25">
      <c r="A34" s="181">
        <v>8</v>
      </c>
      <c r="B34" s="177">
        <v>2.4289999999999999E-2</v>
      </c>
    </row>
    <row r="35" spans="1:2" x14ac:dyDescent="0.25">
      <c r="A35" s="181">
        <v>10</v>
      </c>
      <c r="B35" s="177">
        <v>2.2190000000000001E-2</v>
      </c>
    </row>
    <row r="36" spans="1:2" x14ac:dyDescent="0.25">
      <c r="A36" s="181">
        <v>15</v>
      </c>
      <c r="B36" s="177">
        <v>1.941E-2</v>
      </c>
    </row>
    <row r="37" spans="1:2" ht="15.75" thickBot="1" x14ac:dyDescent="0.3">
      <c r="A37" s="182">
        <v>20</v>
      </c>
      <c r="B37" s="178">
        <v>1.813E-2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10"/>
  <dimension ref="A1:BN191"/>
  <sheetViews>
    <sheetView workbookViewId="0">
      <selection activeCell="H2" sqref="H2"/>
    </sheetView>
  </sheetViews>
  <sheetFormatPr defaultColWidth="8.85546875" defaultRowHeight="15" x14ac:dyDescent="0.25"/>
  <cols>
    <col min="7" max="66" width="8.85546875" style="4"/>
  </cols>
  <sheetData>
    <row r="1" spans="1:6" ht="15.75" thickBot="1" x14ac:dyDescent="0.3">
      <c r="A1" s="29" t="s">
        <v>106</v>
      </c>
      <c r="B1" s="30" t="s">
        <v>97</v>
      </c>
      <c r="C1" s="3" t="s">
        <v>95</v>
      </c>
      <c r="D1" s="3" t="s">
        <v>96</v>
      </c>
      <c r="E1" s="3" t="s">
        <v>98</v>
      </c>
      <c r="F1" s="31" t="s">
        <v>139</v>
      </c>
    </row>
    <row r="2" spans="1:6" x14ac:dyDescent="0.25">
      <c r="A2" s="37">
        <v>1.4999999999999999E-2</v>
      </c>
      <c r="B2" s="38">
        <v>0.17199999999999999</v>
      </c>
      <c r="C2" s="39">
        <v>1.1819999999999999</v>
      </c>
      <c r="D2" s="39">
        <v>0.46300000000000002</v>
      </c>
      <c r="E2" s="40">
        <v>-9.0800000000000006E-2</v>
      </c>
      <c r="F2" s="41">
        <v>14.23</v>
      </c>
    </row>
    <row r="3" spans="1:6" x14ac:dyDescent="0.25">
      <c r="A3" s="37">
        <v>0.02</v>
      </c>
      <c r="B3" s="38">
        <v>0.14299999999999999</v>
      </c>
      <c r="C3" s="39">
        <v>1.427</v>
      </c>
      <c r="D3" s="39">
        <v>0.54900000000000004</v>
      </c>
      <c r="E3" s="40">
        <v>-7.0699999999999999E-2</v>
      </c>
      <c r="F3" s="41">
        <v>14.86</v>
      </c>
    </row>
    <row r="4" spans="1:6" x14ac:dyDescent="0.25">
      <c r="A4" s="37">
        <v>0.03</v>
      </c>
      <c r="B4" s="38">
        <v>8.6999999999999994E-2</v>
      </c>
      <c r="C4" s="39">
        <v>2.335</v>
      </c>
      <c r="D4" s="39">
        <v>0.73599999999999999</v>
      </c>
      <c r="E4" s="40">
        <v>-4.19E-2</v>
      </c>
      <c r="F4" s="41">
        <v>13.28</v>
      </c>
    </row>
    <row r="5" spans="1:6" x14ac:dyDescent="0.25">
      <c r="A5" s="37">
        <v>0.04</v>
      </c>
      <c r="B5" s="38">
        <v>-1.9E-2</v>
      </c>
      <c r="C5" s="39">
        <v>3.4769999999999999</v>
      </c>
      <c r="D5" s="39">
        <v>1.117</v>
      </c>
      <c r="E5" s="40">
        <v>2.5999999999999999E-3</v>
      </c>
      <c r="F5" s="41">
        <v>11.67</v>
      </c>
    </row>
    <row r="6" spans="1:6" x14ac:dyDescent="0.25">
      <c r="A6" s="37">
        <v>0.05</v>
      </c>
      <c r="B6" s="38">
        <v>-8.4000000000000005E-2</v>
      </c>
      <c r="C6" s="39">
        <v>4.4610000000000003</v>
      </c>
      <c r="D6" s="39">
        <v>1.4570000000000001</v>
      </c>
      <c r="E6" s="40">
        <v>3.4099999999999998E-2</v>
      </c>
      <c r="F6" s="41">
        <v>13.62</v>
      </c>
    </row>
    <row r="7" spans="1:6" x14ac:dyDescent="0.25">
      <c r="A7" s="37">
        <v>0.06</v>
      </c>
      <c r="B7" s="38">
        <v>-0.126</v>
      </c>
      <c r="C7" s="39">
        <v>4.9829999999999997</v>
      </c>
      <c r="D7" s="39">
        <v>1.73</v>
      </c>
      <c r="E7" s="40">
        <v>5.6099999999999997E-2</v>
      </c>
      <c r="F7" s="41">
        <v>13.64</v>
      </c>
    </row>
    <row r="8" spans="1:6" x14ac:dyDescent="0.25">
      <c r="A8" s="37">
        <v>0.08</v>
      </c>
      <c r="B8" s="38">
        <v>-0.16800000000000001</v>
      </c>
      <c r="C8" s="39">
        <v>5.0590000000000002</v>
      </c>
      <c r="D8" s="39">
        <v>2.0590000000000002</v>
      </c>
      <c r="E8" s="40">
        <v>7.6999999999999999E-2</v>
      </c>
      <c r="F8" s="41">
        <v>13.67</v>
      </c>
    </row>
    <row r="9" spans="1:6" x14ac:dyDescent="0.25">
      <c r="A9" s="37">
        <v>0.1</v>
      </c>
      <c r="B9" s="38">
        <v>-0.186</v>
      </c>
      <c r="C9" s="39">
        <v>4.6630000000000003</v>
      </c>
      <c r="D9" s="39">
        <v>2.2210000000000001</v>
      </c>
      <c r="E9" s="40">
        <v>8.2600000000000007E-2</v>
      </c>
      <c r="F9" s="41">
        <v>13.33</v>
      </c>
    </row>
    <row r="10" spans="1:6" x14ac:dyDescent="0.25">
      <c r="A10" s="37">
        <v>0.15</v>
      </c>
      <c r="B10" s="38">
        <v>-0.185</v>
      </c>
      <c r="C10" s="39">
        <v>3.8969999999999998</v>
      </c>
      <c r="D10" s="39">
        <v>2.242</v>
      </c>
      <c r="E10" s="40">
        <v>7.7700000000000005E-2</v>
      </c>
      <c r="F10" s="41">
        <v>14.19</v>
      </c>
    </row>
    <row r="11" spans="1:6" x14ac:dyDescent="0.25">
      <c r="A11" s="37">
        <v>0.2</v>
      </c>
      <c r="B11" s="38">
        <v>-0.17599999999999999</v>
      </c>
      <c r="C11" s="39">
        <v>3.4780000000000002</v>
      </c>
      <c r="D11" s="39">
        <v>2.1539999999999999</v>
      </c>
      <c r="E11" s="40">
        <v>7.7399999999999997E-2</v>
      </c>
      <c r="F11" s="41">
        <v>14.5</v>
      </c>
    </row>
    <row r="12" spans="1:6" x14ac:dyDescent="0.25">
      <c r="A12" s="37">
        <v>0.3</v>
      </c>
      <c r="B12" s="38">
        <v>-0.16400000000000001</v>
      </c>
      <c r="C12" s="39">
        <v>2.92</v>
      </c>
      <c r="D12" s="39">
        <v>2.0219999999999998</v>
      </c>
      <c r="E12" s="40">
        <v>6.5500000000000003E-2</v>
      </c>
      <c r="F12" s="41">
        <v>14.21</v>
      </c>
    </row>
    <row r="13" spans="1:6" x14ac:dyDescent="0.25">
      <c r="A13" s="37">
        <v>0.4</v>
      </c>
      <c r="B13" s="38">
        <v>-0.14899999999999999</v>
      </c>
      <c r="C13" s="39">
        <v>2.66</v>
      </c>
      <c r="D13" s="39">
        <v>1.8819999999999999</v>
      </c>
      <c r="E13" s="40">
        <v>5.9499999999999997E-2</v>
      </c>
      <c r="F13" s="41">
        <v>14.24</v>
      </c>
    </row>
    <row r="14" spans="1:6" x14ac:dyDescent="0.25">
      <c r="A14" s="37">
        <v>0.5</v>
      </c>
      <c r="B14" s="38">
        <v>-0.13500000000000001</v>
      </c>
      <c r="C14" s="39">
        <v>2.5</v>
      </c>
      <c r="D14" s="39">
        <v>1.766</v>
      </c>
      <c r="E14" s="40">
        <v>5.4600000000000003E-2</v>
      </c>
      <c r="F14" s="41">
        <v>14.33</v>
      </c>
    </row>
    <row r="15" spans="1:6" x14ac:dyDescent="0.25">
      <c r="A15" s="37">
        <v>0.6</v>
      </c>
      <c r="B15" s="38">
        <v>-0.124</v>
      </c>
      <c r="C15" s="39">
        <v>2.3769999999999998</v>
      </c>
      <c r="D15" s="39">
        <v>1.679</v>
      </c>
      <c r="E15" s="40">
        <v>5.0299999999999997E-2</v>
      </c>
      <c r="F15" s="41">
        <v>14.23</v>
      </c>
    </row>
    <row r="16" spans="1:6" x14ac:dyDescent="0.25">
      <c r="A16" s="37">
        <v>0.8</v>
      </c>
      <c r="B16" s="38">
        <v>-0.105</v>
      </c>
      <c r="C16" s="39">
        <v>2.2120000000000002</v>
      </c>
      <c r="D16" s="39">
        <v>1.544</v>
      </c>
      <c r="E16" s="40">
        <v>4.3700000000000003E-2</v>
      </c>
      <c r="F16" s="41">
        <v>14.36</v>
      </c>
    </row>
    <row r="17" spans="1:6" x14ac:dyDescent="0.25">
      <c r="A17" s="37">
        <v>1</v>
      </c>
      <c r="B17" s="38">
        <v>-8.8999999999999996E-2</v>
      </c>
      <c r="C17" s="39">
        <v>2.1030000000000002</v>
      </c>
      <c r="D17" s="39">
        <v>1.4410000000000001</v>
      </c>
      <c r="E17" s="40">
        <v>3.78E-2</v>
      </c>
      <c r="F17" s="41">
        <v>14.22</v>
      </c>
    </row>
    <row r="18" spans="1:6" x14ac:dyDescent="0.25">
      <c r="A18" s="37">
        <v>1.5</v>
      </c>
      <c r="B18" s="38">
        <v>-5.8000000000000003E-2</v>
      </c>
      <c r="C18" s="39">
        <v>1.9390000000000001</v>
      </c>
      <c r="D18" s="39">
        <v>1.2689999999999999</v>
      </c>
      <c r="E18" s="40">
        <v>2.46E-2</v>
      </c>
      <c r="F18" s="41">
        <v>14.52</v>
      </c>
    </row>
    <row r="19" spans="1:6" x14ac:dyDescent="0.25">
      <c r="A19" s="37">
        <v>2</v>
      </c>
      <c r="B19" s="38">
        <v>-3.9E-2</v>
      </c>
      <c r="C19" s="39">
        <v>1.839</v>
      </c>
      <c r="D19" s="39">
        <v>1.173</v>
      </c>
      <c r="E19" s="40">
        <v>1.61E-2</v>
      </c>
      <c r="F19" s="41">
        <v>14.07</v>
      </c>
    </row>
    <row r="20" spans="1:6" x14ac:dyDescent="0.25">
      <c r="A20" s="37">
        <v>3</v>
      </c>
      <c r="B20" s="38">
        <v>-1.2999999999999999E-2</v>
      </c>
      <c r="C20" s="39">
        <v>1.71</v>
      </c>
      <c r="D20" s="39">
        <v>1.056</v>
      </c>
      <c r="E20" s="40">
        <v>4.7000000000000002E-3</v>
      </c>
      <c r="F20" s="41">
        <v>11.82</v>
      </c>
    </row>
    <row r="21" spans="1:6" x14ac:dyDescent="0.25">
      <c r="A21" s="37">
        <v>4</v>
      </c>
      <c r="B21" s="38">
        <v>4.0000000000000001E-3</v>
      </c>
      <c r="C21" s="39">
        <v>1.621</v>
      </c>
      <c r="D21" s="39">
        <v>0.98899999999999999</v>
      </c>
      <c r="E21" s="40">
        <v>-4.1000000000000003E-3</v>
      </c>
      <c r="F21" s="41">
        <v>13.45</v>
      </c>
    </row>
    <row r="22" spans="1:6" x14ac:dyDescent="0.25">
      <c r="A22" s="37">
        <v>5</v>
      </c>
      <c r="B22" s="38">
        <v>1.7999999999999999E-2</v>
      </c>
      <c r="C22" s="39">
        <v>1.554</v>
      </c>
      <c r="D22" s="39">
        <v>0.93899999999999995</v>
      </c>
      <c r="E22" s="40">
        <v>-1.2200000000000001E-2</v>
      </c>
      <c r="F22" s="41">
        <v>13.55</v>
      </c>
    </row>
    <row r="23" spans="1:6" x14ac:dyDescent="0.25">
      <c r="A23" s="37">
        <v>6</v>
      </c>
      <c r="B23" s="38">
        <v>2.9000000000000001E-2</v>
      </c>
      <c r="C23" s="39">
        <v>1.5069999999999999</v>
      </c>
      <c r="D23" s="39">
        <v>0.90300000000000002</v>
      </c>
      <c r="E23" s="40">
        <v>-2.7199999999999998E-2</v>
      </c>
      <c r="F23" s="41">
        <v>16.13</v>
      </c>
    </row>
    <row r="24" spans="1:6" x14ac:dyDescent="0.25">
      <c r="A24" s="37">
        <v>8</v>
      </c>
      <c r="B24" s="38">
        <v>3.5000000000000003E-2</v>
      </c>
      <c r="C24" s="39">
        <v>1.4219999999999999</v>
      </c>
      <c r="D24" s="39">
        <v>0.879</v>
      </c>
      <c r="E24" s="40">
        <v>-1.9099999999999999E-2</v>
      </c>
      <c r="F24" s="41">
        <v>13.36</v>
      </c>
    </row>
    <row r="25" spans="1:6" x14ac:dyDescent="0.25">
      <c r="A25" s="37">
        <v>10</v>
      </c>
      <c r="B25" s="38">
        <v>4.2000000000000003E-2</v>
      </c>
      <c r="C25" s="39">
        <v>1.3620000000000001</v>
      </c>
      <c r="D25" s="39">
        <v>0.85899999999999999</v>
      </c>
      <c r="E25" s="40">
        <v>-2.47E-2</v>
      </c>
      <c r="F25" s="41">
        <v>13.37</v>
      </c>
    </row>
    <row r="26" spans="1:6" ht="15.75" thickBot="1" x14ac:dyDescent="0.3">
      <c r="A26" s="32">
        <v>15</v>
      </c>
      <c r="B26" s="33">
        <v>4.7E-2</v>
      </c>
      <c r="C26" s="34">
        <v>1.2669999999999999</v>
      </c>
      <c r="D26" s="34">
        <v>0.84299999999999997</v>
      </c>
      <c r="E26" s="35">
        <v>-3.3599999999999998E-2</v>
      </c>
      <c r="F26" s="36">
        <v>15.08</v>
      </c>
    </row>
    <row r="27" spans="1:6" s="4" customFormat="1" x14ac:dyDescent="0.25"/>
    <row r="28" spans="1:6" s="4" customFormat="1" x14ac:dyDescent="0.25"/>
    <row r="29" spans="1:6" s="4" customFormat="1" x14ac:dyDescent="0.25"/>
    <row r="30" spans="1:6" s="4" customFormat="1" x14ac:dyDescent="0.25"/>
    <row r="31" spans="1:6" s="4" customFormat="1" x14ac:dyDescent="0.25"/>
    <row r="32" spans="1:6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  <row r="42" s="4" customFormat="1" x14ac:dyDescent="0.25"/>
    <row r="43" s="4" customFormat="1" x14ac:dyDescent="0.25"/>
    <row r="44" s="4" customFormat="1" x14ac:dyDescent="0.25"/>
    <row r="45" s="4" customFormat="1" x14ac:dyDescent="0.25"/>
    <row r="46" s="4" customFormat="1" x14ac:dyDescent="0.25"/>
    <row r="47" s="4" customFormat="1" x14ac:dyDescent="0.25"/>
    <row r="48" s="4" customFormat="1" x14ac:dyDescent="0.25"/>
    <row r="49" s="4" customFormat="1" x14ac:dyDescent="0.25"/>
    <row r="50" s="4" customFormat="1" x14ac:dyDescent="0.25"/>
    <row r="51" s="4" customFormat="1" x14ac:dyDescent="0.25"/>
    <row r="52" s="4" customFormat="1" x14ac:dyDescent="0.25"/>
    <row r="53" s="4" customFormat="1" x14ac:dyDescent="0.25"/>
    <row r="54" s="4" customFormat="1" x14ac:dyDescent="0.25"/>
    <row r="55" s="4" customFormat="1" x14ac:dyDescent="0.25"/>
    <row r="56" s="4" customFormat="1" x14ac:dyDescent="0.25"/>
    <row r="57" s="4" customFormat="1" x14ac:dyDescent="0.25"/>
    <row r="58" s="4" customFormat="1" x14ac:dyDescent="0.25"/>
    <row r="59" s="4" customFormat="1" x14ac:dyDescent="0.25"/>
    <row r="60" s="4" customFormat="1" x14ac:dyDescent="0.25"/>
    <row r="61" s="4" customFormat="1" x14ac:dyDescent="0.25"/>
    <row r="62" s="4" customFormat="1" x14ac:dyDescent="0.25"/>
    <row r="63" s="4" customFormat="1" x14ac:dyDescent="0.25"/>
    <row r="64" s="4" customFormat="1" x14ac:dyDescent="0.25"/>
    <row r="65" s="4" customFormat="1" x14ac:dyDescent="0.25"/>
    <row r="66" s="4" customFormat="1" x14ac:dyDescent="0.25"/>
    <row r="67" s="4" customFormat="1" x14ac:dyDescent="0.25"/>
    <row r="68" s="4" customFormat="1" x14ac:dyDescent="0.25"/>
    <row r="69" s="4" customFormat="1" x14ac:dyDescent="0.25"/>
    <row r="70" s="4" customFormat="1" x14ac:dyDescent="0.25"/>
    <row r="71" s="4" customFormat="1" x14ac:dyDescent="0.25"/>
    <row r="72" s="4" customFormat="1" x14ac:dyDescent="0.25"/>
    <row r="73" s="4" customFormat="1" x14ac:dyDescent="0.25"/>
    <row r="74" s="4" customFormat="1" x14ac:dyDescent="0.25"/>
    <row r="75" s="4" customFormat="1" x14ac:dyDescent="0.25"/>
    <row r="76" s="4" customFormat="1" x14ac:dyDescent="0.25"/>
    <row r="77" s="4" customFormat="1" x14ac:dyDescent="0.25"/>
    <row r="78" s="4" customFormat="1" x14ac:dyDescent="0.25"/>
    <row r="79" s="4" customFormat="1" x14ac:dyDescent="0.25"/>
    <row r="80" s="4" customFormat="1" x14ac:dyDescent="0.25"/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97" s="4" customFormat="1" x14ac:dyDescent="0.25"/>
    <row r="98" s="4" customFormat="1" x14ac:dyDescent="0.25"/>
    <row r="99" s="4" customFormat="1" x14ac:dyDescent="0.25"/>
    <row r="100" s="4" customFormat="1" x14ac:dyDescent="0.25"/>
    <row r="101" s="4" customFormat="1" x14ac:dyDescent="0.25"/>
    <row r="102" s="4" customFormat="1" x14ac:dyDescent="0.25"/>
    <row r="103" s="4" customFormat="1" x14ac:dyDescent="0.25"/>
    <row r="104" s="4" customFormat="1" x14ac:dyDescent="0.25"/>
    <row r="105" s="4" customFormat="1" x14ac:dyDescent="0.25"/>
    <row r="106" s="4" customFormat="1" x14ac:dyDescent="0.25"/>
    <row r="107" s="4" customFormat="1" x14ac:dyDescent="0.25"/>
    <row r="108" s="4" customFormat="1" x14ac:dyDescent="0.25"/>
    <row r="109" s="4" customFormat="1" x14ac:dyDescent="0.25"/>
    <row r="110" s="4" customFormat="1" x14ac:dyDescent="0.25"/>
    <row r="111" s="4" customFormat="1" x14ac:dyDescent="0.25"/>
    <row r="112" s="4" customFormat="1" x14ac:dyDescent="0.25"/>
    <row r="113" s="4" customFormat="1" x14ac:dyDescent="0.25"/>
    <row r="114" s="4" customFormat="1" x14ac:dyDescent="0.25"/>
    <row r="115" s="4" customFormat="1" x14ac:dyDescent="0.25"/>
    <row r="116" s="4" customFormat="1" x14ac:dyDescent="0.25"/>
    <row r="117" s="4" customFormat="1" x14ac:dyDescent="0.25"/>
    <row r="118" s="4" customFormat="1" x14ac:dyDescent="0.25"/>
    <row r="119" s="4" customFormat="1" x14ac:dyDescent="0.25"/>
    <row r="120" s="4" customFormat="1" x14ac:dyDescent="0.25"/>
    <row r="121" s="4" customFormat="1" x14ac:dyDescent="0.25"/>
    <row r="122" s="4" customFormat="1" x14ac:dyDescent="0.25"/>
    <row r="123" s="4" customFormat="1" x14ac:dyDescent="0.25"/>
    <row r="124" s="4" customFormat="1" x14ac:dyDescent="0.25"/>
    <row r="125" s="4" customFormat="1" x14ac:dyDescent="0.25"/>
    <row r="126" s="4" customFormat="1" x14ac:dyDescent="0.25"/>
    <row r="127" s="4" customFormat="1" x14ac:dyDescent="0.25"/>
    <row r="128" s="4" customFormat="1" x14ac:dyDescent="0.25"/>
    <row r="129" s="4" customFormat="1" x14ac:dyDescent="0.25"/>
    <row r="130" s="4" customFormat="1" x14ac:dyDescent="0.25"/>
    <row r="131" s="4" customFormat="1" x14ac:dyDescent="0.25"/>
    <row r="132" s="4" customFormat="1" x14ac:dyDescent="0.25"/>
    <row r="133" s="4" customFormat="1" x14ac:dyDescent="0.25"/>
    <row r="134" s="4" customFormat="1" x14ac:dyDescent="0.25"/>
    <row r="135" s="4" customFormat="1" x14ac:dyDescent="0.25"/>
    <row r="136" s="4" customFormat="1" x14ac:dyDescent="0.25"/>
    <row r="137" s="4" customFormat="1" x14ac:dyDescent="0.25"/>
    <row r="138" s="4" customFormat="1" x14ac:dyDescent="0.25"/>
    <row r="139" s="4" customFormat="1" x14ac:dyDescent="0.25"/>
    <row r="140" s="4" customFormat="1" x14ac:dyDescent="0.25"/>
    <row r="141" s="4" customFormat="1" x14ac:dyDescent="0.25"/>
    <row r="142" s="4" customFormat="1" x14ac:dyDescent="0.25"/>
    <row r="143" s="4" customFormat="1" x14ac:dyDescent="0.25"/>
    <row r="144" s="4" customFormat="1" x14ac:dyDescent="0.25"/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  <row r="179" s="4" customFormat="1" x14ac:dyDescent="0.25"/>
    <row r="180" s="4" customFormat="1" x14ac:dyDescent="0.25"/>
    <row r="181" s="4" customFormat="1" x14ac:dyDescent="0.25"/>
    <row r="182" s="4" customFormat="1" x14ac:dyDescent="0.25"/>
    <row r="183" s="4" customFormat="1" x14ac:dyDescent="0.25"/>
    <row r="184" s="4" customFormat="1" x14ac:dyDescent="0.25"/>
    <row r="185" s="4" customFormat="1" x14ac:dyDescent="0.25"/>
    <row r="186" s="4" customFormat="1" x14ac:dyDescent="0.25"/>
    <row r="187" s="4" customFormat="1" x14ac:dyDescent="0.25"/>
    <row r="188" s="4" customFormat="1" x14ac:dyDescent="0.25"/>
    <row r="189" s="4" customFormat="1" x14ac:dyDescent="0.25"/>
    <row r="190" s="4" customFormat="1" x14ac:dyDescent="0.25"/>
    <row r="191" s="4" customFormat="1" x14ac:dyDescent="0.25"/>
  </sheetData>
  <sheetProtection algorithmName="SHA-512" hashValue="ZM4nJySDied4q+wUhgeQRuVxxAde0F/W1yxQHFdyPIEes4cOjmrR5XDVGaZ1I1E/syLFgfVYtdtHOS2txUfO0A==" saltValue="rK04vgyaTMZi4JTLFmhvow==" spinCount="100000" sheet="1" selectLockedCells="1" selectUnlockedCells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11"/>
  <dimension ref="A1:O52"/>
  <sheetViews>
    <sheetView workbookViewId="0">
      <selection activeCell="F9" sqref="F9"/>
    </sheetView>
  </sheetViews>
  <sheetFormatPr defaultColWidth="8.85546875" defaultRowHeight="15" x14ac:dyDescent="0.25"/>
  <cols>
    <col min="1" max="16384" width="8.85546875" style="4"/>
  </cols>
  <sheetData>
    <row r="1" spans="1:15" x14ac:dyDescent="0.25">
      <c r="A1" s="194" t="s">
        <v>106</v>
      </c>
      <c r="B1" s="184" t="s">
        <v>108</v>
      </c>
      <c r="C1" s="185" t="s">
        <v>109</v>
      </c>
      <c r="D1" s="185" t="s">
        <v>110</v>
      </c>
      <c r="E1" s="185" t="s">
        <v>111</v>
      </c>
      <c r="F1" s="185" t="s">
        <v>112</v>
      </c>
      <c r="G1" s="185" t="s">
        <v>113</v>
      </c>
      <c r="H1" s="185" t="s">
        <v>114</v>
      </c>
      <c r="I1" s="185" t="s">
        <v>115</v>
      </c>
      <c r="J1" s="185" t="s">
        <v>116</v>
      </c>
      <c r="K1" s="185" t="s">
        <v>117</v>
      </c>
      <c r="L1" s="185" t="s">
        <v>118</v>
      </c>
      <c r="M1" s="186" t="s">
        <v>119</v>
      </c>
    </row>
    <row r="2" spans="1:15" x14ac:dyDescent="0.25">
      <c r="A2" s="195">
        <v>5.0000000000000001E-3</v>
      </c>
      <c r="B2" s="187">
        <v>1.34E-2</v>
      </c>
      <c r="C2" s="188">
        <v>1.41E-2</v>
      </c>
      <c r="D2" s="188">
        <v>1.3899999999999999E-2</v>
      </c>
      <c r="E2" s="188">
        <v>1.3100000000000001E-2</v>
      </c>
      <c r="F2" s="188">
        <v>1.1599999999999999E-2</v>
      </c>
      <c r="G2" s="188">
        <v>9.41E-3</v>
      </c>
      <c r="H2" s="188">
        <v>6.8700000000000002E-3</v>
      </c>
      <c r="I2" s="188">
        <v>1.3299999999999999E-2</v>
      </c>
      <c r="J2" s="188">
        <v>1.15E-2</v>
      </c>
      <c r="K2" s="188">
        <v>1.04E-2</v>
      </c>
      <c r="L2" s="188">
        <v>1.0500000000000001E-2</v>
      </c>
      <c r="M2" s="189">
        <v>1.0200000000000001E-2</v>
      </c>
    </row>
    <row r="3" spans="1:15" x14ac:dyDescent="0.25">
      <c r="A3" s="195">
        <v>6.0000000000000001E-3</v>
      </c>
      <c r="B3" s="187">
        <v>1.66E-2</v>
      </c>
      <c r="C3" s="188">
        <v>1.7999999999999999E-2</v>
      </c>
      <c r="D3" s="188">
        <v>1.8200000000000001E-2</v>
      </c>
      <c r="E3" s="188">
        <v>1.72E-2</v>
      </c>
      <c r="F3" s="188">
        <v>1.5299999999999999E-2</v>
      </c>
      <c r="G3" s="188">
        <v>1.2E-2</v>
      </c>
      <c r="H3" s="188">
        <v>8.2900000000000005E-3</v>
      </c>
      <c r="I3" s="188">
        <v>1.5900000000000001E-2</v>
      </c>
      <c r="J3" s="188">
        <v>1.41E-2</v>
      </c>
      <c r="K3" s="188">
        <v>1.2800000000000001E-2</v>
      </c>
      <c r="L3" s="188">
        <v>1.3100000000000001E-2</v>
      </c>
      <c r="M3" s="189">
        <v>1.2500000000000001E-2</v>
      </c>
    </row>
    <row r="4" spans="1:15" x14ac:dyDescent="0.25">
      <c r="A4" s="195">
        <v>7.0000000000000001E-3</v>
      </c>
      <c r="B4" s="187">
        <v>2.2499999999999999E-2</v>
      </c>
      <c r="C4" s="188">
        <v>2.4500000000000001E-2</v>
      </c>
      <c r="D4" s="188">
        <v>2.4500000000000001E-2</v>
      </c>
      <c r="E4" s="188">
        <v>2.2800000000000001E-2</v>
      </c>
      <c r="F4" s="188">
        <v>1.9900000000000001E-2</v>
      </c>
      <c r="G4" s="188">
        <v>1.5100000000000001E-2</v>
      </c>
      <c r="H4" s="188">
        <v>9.92E-3</v>
      </c>
      <c r="I4" s="188">
        <v>1.78E-2</v>
      </c>
      <c r="J4" s="188">
        <v>1.7399999999999999E-2</v>
      </c>
      <c r="K4" s="188">
        <v>1.5800000000000002E-2</v>
      </c>
      <c r="L4" s="188">
        <v>1.61E-2</v>
      </c>
      <c r="M4" s="189">
        <v>1.5299999999999999E-2</v>
      </c>
    </row>
    <row r="5" spans="1:15" x14ac:dyDescent="0.25">
      <c r="A5" s="195">
        <v>8.0000000000000002E-3</v>
      </c>
      <c r="B5" s="187">
        <v>3.3500000000000002E-2</v>
      </c>
      <c r="C5" s="188">
        <v>3.5099999999999999E-2</v>
      </c>
      <c r="D5" s="188">
        <v>3.4099999999999998E-2</v>
      </c>
      <c r="E5" s="188">
        <v>3.0700000000000002E-2</v>
      </c>
      <c r="F5" s="188">
        <v>2.5999999999999999E-2</v>
      </c>
      <c r="G5" s="188">
        <v>1.9300000000000001E-2</v>
      </c>
      <c r="H5" s="188">
        <v>1.21E-2</v>
      </c>
      <c r="I5" s="188">
        <v>1.8700000000000001E-2</v>
      </c>
      <c r="J5" s="188">
        <v>2.1600000000000001E-2</v>
      </c>
      <c r="K5" s="188">
        <v>1.9400000000000001E-2</v>
      </c>
      <c r="L5" s="188">
        <v>0.02</v>
      </c>
      <c r="M5" s="189">
        <v>1.8700000000000001E-2</v>
      </c>
    </row>
    <row r="6" spans="1:15" x14ac:dyDescent="0.25">
      <c r="A6" s="195">
        <v>8.9999999999999993E-3</v>
      </c>
      <c r="B6" s="187">
        <v>4.9000000000000002E-2</v>
      </c>
      <c r="C6" s="188">
        <v>5.0099999999999999E-2</v>
      </c>
      <c r="D6" s="188">
        <v>4.7E-2</v>
      </c>
      <c r="E6" s="188">
        <v>4.0899999999999999E-2</v>
      </c>
      <c r="F6" s="188">
        <v>3.39E-2</v>
      </c>
      <c r="G6" s="188">
        <v>2.46E-2</v>
      </c>
      <c r="H6" s="188">
        <v>1.49E-2</v>
      </c>
      <c r="I6" s="188">
        <v>1.8599999999999998E-2</v>
      </c>
      <c r="J6" s="188">
        <v>2.7300000000000001E-2</v>
      </c>
      <c r="K6" s="188">
        <v>2.3599999999999999E-2</v>
      </c>
      <c r="L6" s="188">
        <v>2.4500000000000001E-2</v>
      </c>
      <c r="M6" s="189">
        <v>2.2599999999999999E-2</v>
      </c>
      <c r="O6" s="5"/>
    </row>
    <row r="7" spans="1:15" x14ac:dyDescent="0.25">
      <c r="A7" s="196">
        <v>0.01</v>
      </c>
      <c r="B7" s="183">
        <v>6.8500000000000005E-2</v>
      </c>
      <c r="C7" s="188">
        <v>6.7699999999999996E-2</v>
      </c>
      <c r="D7" s="188">
        <v>6.2300000000000001E-2</v>
      </c>
      <c r="E7" s="188">
        <v>5.3100000000000001E-2</v>
      </c>
      <c r="F7" s="188">
        <v>4.2900000000000001E-2</v>
      </c>
      <c r="G7" s="188">
        <v>3.09E-2</v>
      </c>
      <c r="H7" s="188">
        <v>1.89E-2</v>
      </c>
      <c r="I7" s="188">
        <v>1.84E-2</v>
      </c>
      <c r="J7" s="188">
        <v>3.3700000000000001E-2</v>
      </c>
      <c r="K7" s="188">
        <v>2.8799999999999999E-2</v>
      </c>
      <c r="L7" s="188">
        <v>3.0099999999999998E-2</v>
      </c>
      <c r="M7" s="189">
        <v>2.75E-2</v>
      </c>
      <c r="O7" s="5"/>
    </row>
    <row r="8" spans="1:15" x14ac:dyDescent="0.25">
      <c r="A8" s="181">
        <v>1.2E-2</v>
      </c>
      <c r="B8" s="187">
        <v>0.105</v>
      </c>
      <c r="C8" s="188">
        <v>0.104</v>
      </c>
      <c r="D8" s="188">
        <v>9.5299999999999996E-2</v>
      </c>
      <c r="E8" s="188">
        <v>0.08</v>
      </c>
      <c r="F8" s="188">
        <v>6.2399999999999997E-2</v>
      </c>
      <c r="G8" s="188">
        <v>4.4999999999999998E-2</v>
      </c>
      <c r="H8" s="188">
        <v>2.7099999999999999E-2</v>
      </c>
      <c r="I8" s="188">
        <v>1.6199999999999999E-2</v>
      </c>
      <c r="J8" s="188">
        <v>4.7E-2</v>
      </c>
      <c r="K8" s="188">
        <v>3.95E-2</v>
      </c>
      <c r="L8" s="188">
        <v>4.0599999999999997E-2</v>
      </c>
      <c r="M8" s="189">
        <v>3.7499999999999999E-2</v>
      </c>
    </row>
    <row r="9" spans="1:15" x14ac:dyDescent="0.25">
      <c r="A9" s="181">
        <v>1.2999999999999999E-2</v>
      </c>
      <c r="B9" s="187">
        <v>0.122</v>
      </c>
      <c r="C9" s="188">
        <v>0.121</v>
      </c>
      <c r="D9" s="188">
        <v>0.111</v>
      </c>
      <c r="E9" s="188">
        <v>9.3700000000000006E-2</v>
      </c>
      <c r="F9" s="188">
        <v>7.2700000000000001E-2</v>
      </c>
      <c r="G9" s="188">
        <v>5.1900000000000002E-2</v>
      </c>
      <c r="H9" s="188">
        <v>3.15E-2</v>
      </c>
      <c r="I9" s="188">
        <v>1.5599999999999999E-2</v>
      </c>
      <c r="J9" s="188">
        <v>5.3199999999999997E-2</v>
      </c>
      <c r="K9" s="188">
        <v>4.4900000000000002E-2</v>
      </c>
      <c r="L9" s="188">
        <v>4.58E-2</v>
      </c>
      <c r="M9" s="189">
        <v>4.2599999999999999E-2</v>
      </c>
    </row>
    <row r="10" spans="1:15" x14ac:dyDescent="0.25">
      <c r="A10" s="196">
        <v>1.4999999999999999E-2</v>
      </c>
      <c r="B10" s="183">
        <v>0.156</v>
      </c>
      <c r="C10" s="188">
        <v>0.152</v>
      </c>
      <c r="D10" s="188">
        <v>0.14000000000000001</v>
      </c>
      <c r="E10" s="188">
        <v>0.11899999999999999</v>
      </c>
      <c r="F10" s="188">
        <v>9.3600000000000003E-2</v>
      </c>
      <c r="G10" s="188">
        <v>6.5600000000000006E-2</v>
      </c>
      <c r="H10" s="188">
        <v>4.1599999999999998E-2</v>
      </c>
      <c r="I10" s="188">
        <v>1.55E-2</v>
      </c>
      <c r="J10" s="188">
        <v>6.6500000000000004E-2</v>
      </c>
      <c r="K10" s="188">
        <v>5.6000000000000001E-2</v>
      </c>
      <c r="L10" s="188">
        <v>5.7700000000000001E-2</v>
      </c>
      <c r="M10" s="189">
        <v>5.4300000000000001E-2</v>
      </c>
    </row>
    <row r="11" spans="1:15" x14ac:dyDescent="0.25">
      <c r="A11" s="181">
        <v>1.7000000000000001E-2</v>
      </c>
      <c r="B11" s="187">
        <v>0.18099999999999999</v>
      </c>
      <c r="C11" s="188">
        <v>0.18</v>
      </c>
      <c r="D11" s="188">
        <v>0.16800000000000001</v>
      </c>
      <c r="E11" s="188">
        <v>0.14399999999999999</v>
      </c>
      <c r="F11" s="188">
        <v>0.11600000000000001</v>
      </c>
      <c r="G11" s="188">
        <v>7.9799999999999996E-2</v>
      </c>
      <c r="H11" s="188">
        <v>4.9700000000000001E-2</v>
      </c>
      <c r="I11" s="188">
        <v>1.7500000000000002E-2</v>
      </c>
      <c r="J11" s="188">
        <v>7.8299999999999995E-2</v>
      </c>
      <c r="K11" s="188">
        <v>6.5000000000000002E-2</v>
      </c>
      <c r="L11" s="188">
        <v>6.54E-2</v>
      </c>
      <c r="M11" s="189">
        <v>6.3200000000000006E-2</v>
      </c>
    </row>
    <row r="12" spans="1:15" x14ac:dyDescent="0.25">
      <c r="A12" s="196">
        <v>0.02</v>
      </c>
      <c r="B12" s="183">
        <v>0.22500000000000001</v>
      </c>
      <c r="C12" s="188">
        <v>0.219</v>
      </c>
      <c r="D12" s="188">
        <v>0.20499999999999999</v>
      </c>
      <c r="E12" s="188">
        <v>0.18099999999999999</v>
      </c>
      <c r="F12" s="188">
        <v>0.14799999999999999</v>
      </c>
      <c r="G12" s="188">
        <v>0.10100000000000001</v>
      </c>
      <c r="H12" s="188">
        <v>6.54E-2</v>
      </c>
      <c r="I12" s="188">
        <v>2.6100000000000002E-2</v>
      </c>
      <c r="J12" s="188">
        <v>9.8799999999999999E-2</v>
      </c>
      <c r="K12" s="188">
        <v>8.1299999999999997E-2</v>
      </c>
      <c r="L12" s="188">
        <v>8.2199999999999995E-2</v>
      </c>
      <c r="M12" s="189">
        <v>8.0199999999999994E-2</v>
      </c>
    </row>
    <row r="13" spans="1:15" x14ac:dyDescent="0.25">
      <c r="A13" s="181">
        <v>2.5000000000000001E-2</v>
      </c>
      <c r="B13" s="187">
        <v>0.27500000000000002</v>
      </c>
      <c r="C13" s="188">
        <v>0.27100000000000002</v>
      </c>
      <c r="D13" s="188">
        <v>0.25700000000000001</v>
      </c>
      <c r="E13" s="188">
        <v>0.23200000000000001</v>
      </c>
      <c r="F13" s="188">
        <v>0.193</v>
      </c>
      <c r="G13" s="188">
        <v>0.13800000000000001</v>
      </c>
      <c r="H13" s="188">
        <v>8.5500000000000007E-2</v>
      </c>
      <c r="I13" s="188">
        <v>5.6399999999999999E-2</v>
      </c>
      <c r="J13" s="188">
        <v>0.13</v>
      </c>
      <c r="K13" s="188">
        <v>0.104</v>
      </c>
      <c r="L13" s="188">
        <v>0.105</v>
      </c>
      <c r="M13" s="189">
        <v>0.10100000000000001</v>
      </c>
    </row>
    <row r="14" spans="1:15" x14ac:dyDescent="0.25">
      <c r="A14" s="196">
        <v>0.03</v>
      </c>
      <c r="B14" s="183">
        <v>0.312</v>
      </c>
      <c r="C14" s="188">
        <v>0.307</v>
      </c>
      <c r="D14" s="188">
        <v>0.29299999999999998</v>
      </c>
      <c r="E14" s="188">
        <v>0.26200000000000001</v>
      </c>
      <c r="F14" s="188">
        <v>0.219</v>
      </c>
      <c r="G14" s="188">
        <v>0.16200000000000001</v>
      </c>
      <c r="H14" s="188">
        <v>0.109</v>
      </c>
      <c r="I14" s="188">
        <v>9.4600000000000004E-2</v>
      </c>
      <c r="J14" s="188">
        <v>0.159</v>
      </c>
      <c r="K14" s="188">
        <v>0.127</v>
      </c>
      <c r="L14" s="188">
        <v>0.129</v>
      </c>
      <c r="M14" s="189">
        <v>0.125</v>
      </c>
    </row>
    <row r="15" spans="1:15" x14ac:dyDescent="0.25">
      <c r="A15" s="196">
        <v>0.04</v>
      </c>
      <c r="B15" s="183">
        <v>0.35</v>
      </c>
      <c r="C15" s="188">
        <v>0.34300000000000003</v>
      </c>
      <c r="D15" s="188">
        <v>0.33100000000000002</v>
      </c>
      <c r="E15" s="188">
        <v>0.29599999999999999</v>
      </c>
      <c r="F15" s="188">
        <v>0.254</v>
      </c>
      <c r="G15" s="188">
        <v>0.19700000000000001</v>
      </c>
      <c r="H15" s="188">
        <v>0.13800000000000001</v>
      </c>
      <c r="I15" s="188">
        <v>0.16300000000000001</v>
      </c>
      <c r="J15" s="188">
        <v>0.19900000000000001</v>
      </c>
      <c r="K15" s="188">
        <v>0.158</v>
      </c>
      <c r="L15" s="188">
        <v>0.16200000000000001</v>
      </c>
      <c r="M15" s="189">
        <v>0.154</v>
      </c>
    </row>
    <row r="16" spans="1:15" x14ac:dyDescent="0.25">
      <c r="A16" s="196">
        <v>0.05</v>
      </c>
      <c r="B16" s="183">
        <v>0.36899999999999999</v>
      </c>
      <c r="C16" s="188">
        <v>0.36199999999999999</v>
      </c>
      <c r="D16" s="188">
        <v>0.35299999999999998</v>
      </c>
      <c r="E16" s="188">
        <v>0.314</v>
      </c>
      <c r="F16" s="188">
        <v>0.27400000000000002</v>
      </c>
      <c r="G16" s="188">
        <v>0.21199999999999999</v>
      </c>
      <c r="H16" s="188">
        <v>0.158</v>
      </c>
      <c r="I16" s="188">
        <v>0.20899999999999999</v>
      </c>
      <c r="J16" s="188">
        <v>0.22600000000000001</v>
      </c>
      <c r="K16" s="188">
        <v>0.18</v>
      </c>
      <c r="L16" s="188">
        <v>0.184</v>
      </c>
      <c r="M16" s="189">
        <v>0.17599999999999999</v>
      </c>
    </row>
    <row r="17" spans="1:13" x14ac:dyDescent="0.25">
      <c r="A17" s="196">
        <v>0.06</v>
      </c>
      <c r="B17" s="183">
        <v>0.38900000000000001</v>
      </c>
      <c r="C17" s="188">
        <v>0.38500000000000001</v>
      </c>
      <c r="D17" s="188">
        <v>0.36699999999999999</v>
      </c>
      <c r="E17" s="188">
        <v>0.33</v>
      </c>
      <c r="F17" s="188">
        <v>0.29099999999999998</v>
      </c>
      <c r="G17" s="188">
        <v>0.23100000000000001</v>
      </c>
      <c r="H17" s="188">
        <v>0.17399999999999999</v>
      </c>
      <c r="I17" s="188">
        <v>0.24299999999999999</v>
      </c>
      <c r="J17" s="188">
        <v>0.248</v>
      </c>
      <c r="K17" s="188">
        <v>0.19800000000000001</v>
      </c>
      <c r="L17" s="188">
        <v>0.20399999999999999</v>
      </c>
      <c r="M17" s="189">
        <v>0.19400000000000001</v>
      </c>
    </row>
    <row r="18" spans="1:13" x14ac:dyDescent="0.25">
      <c r="A18" s="196">
        <v>7.0000000000000007E-2</v>
      </c>
      <c r="B18" s="183">
        <v>0.41099999999999998</v>
      </c>
      <c r="C18" s="188">
        <v>0.41199999999999998</v>
      </c>
      <c r="D18" s="188">
        <v>0.39200000000000002</v>
      </c>
      <c r="E18" s="188">
        <v>0.35299999999999998</v>
      </c>
      <c r="F18" s="188">
        <v>0.311</v>
      </c>
      <c r="G18" s="188">
        <v>0.252</v>
      </c>
      <c r="H18" s="188">
        <v>0.191</v>
      </c>
      <c r="I18" s="188">
        <v>0.27300000000000002</v>
      </c>
      <c r="J18" s="188">
        <v>0.27300000000000002</v>
      </c>
      <c r="K18" s="188">
        <v>0.218</v>
      </c>
      <c r="L18" s="188">
        <v>0.223</v>
      </c>
      <c r="M18" s="189">
        <v>0.20899999999999999</v>
      </c>
    </row>
    <row r="19" spans="1:13" x14ac:dyDescent="0.25">
      <c r="A19" s="196">
        <v>0.08</v>
      </c>
      <c r="B19" s="183">
        <v>0.443</v>
      </c>
      <c r="C19" s="188">
        <v>0.438</v>
      </c>
      <c r="D19" s="188">
        <v>0.42099999999999999</v>
      </c>
      <c r="E19" s="188">
        <v>0.38100000000000001</v>
      </c>
      <c r="F19" s="188">
        <v>0.34100000000000003</v>
      </c>
      <c r="G19" s="188">
        <v>0.27800000000000002</v>
      </c>
      <c r="H19" s="188">
        <v>0.21099999999999999</v>
      </c>
      <c r="I19" s="188">
        <v>0.30199999999999999</v>
      </c>
      <c r="J19" s="188">
        <v>0.29699999999999999</v>
      </c>
      <c r="K19" s="188">
        <v>0.23799999999999999</v>
      </c>
      <c r="L19" s="188">
        <v>0.246</v>
      </c>
      <c r="M19" s="189">
        <v>0.23200000000000001</v>
      </c>
    </row>
    <row r="20" spans="1:13" x14ac:dyDescent="0.25">
      <c r="A20" s="196">
        <v>0.1</v>
      </c>
      <c r="B20" s="183">
        <v>0.51800000000000002</v>
      </c>
      <c r="C20" s="188">
        <v>0.51500000000000001</v>
      </c>
      <c r="D20" s="188">
        <v>0.49</v>
      </c>
      <c r="E20" s="188">
        <v>0.45600000000000002</v>
      </c>
      <c r="F20" s="188">
        <v>0.41</v>
      </c>
      <c r="G20" s="188">
        <v>0.33200000000000002</v>
      </c>
      <c r="H20" s="188">
        <v>0.255</v>
      </c>
      <c r="I20" s="188">
        <v>0.36299999999999999</v>
      </c>
      <c r="J20" s="188">
        <v>0.35599999999999998</v>
      </c>
      <c r="K20" s="188">
        <v>0.28599999999999998</v>
      </c>
      <c r="L20" s="188">
        <v>0.29499999999999998</v>
      </c>
      <c r="M20" s="189">
        <v>0.27900000000000003</v>
      </c>
    </row>
    <row r="21" spans="1:13" x14ac:dyDescent="0.25">
      <c r="A21" s="196">
        <v>0.15</v>
      </c>
      <c r="B21" s="183">
        <v>0.747</v>
      </c>
      <c r="C21" s="188">
        <v>0.752</v>
      </c>
      <c r="D21" s="188">
        <v>0.71799999999999997</v>
      </c>
      <c r="E21" s="188">
        <v>0.66300000000000003</v>
      </c>
      <c r="F21" s="188">
        <v>0.60699999999999998</v>
      </c>
      <c r="G21" s="188">
        <v>0.504</v>
      </c>
      <c r="H21" s="188">
        <v>0.39100000000000001</v>
      </c>
      <c r="I21" s="188">
        <v>0.54300000000000004</v>
      </c>
      <c r="J21" s="188">
        <v>0.52900000000000003</v>
      </c>
      <c r="K21" s="188">
        <v>0.42899999999999999</v>
      </c>
      <c r="L21" s="188">
        <v>0.44500000000000001</v>
      </c>
      <c r="M21" s="189">
        <v>0.41299999999999998</v>
      </c>
    </row>
    <row r="22" spans="1:13" x14ac:dyDescent="0.25">
      <c r="A22" s="196">
        <v>0.2</v>
      </c>
      <c r="B22" s="183">
        <v>1</v>
      </c>
      <c r="C22" s="188">
        <v>1</v>
      </c>
      <c r="D22" s="188">
        <v>0.96799999999999997</v>
      </c>
      <c r="E22" s="188">
        <v>0.90100000000000002</v>
      </c>
      <c r="F22" s="188">
        <v>0.82599999999999996</v>
      </c>
      <c r="G22" s="188">
        <v>0.7</v>
      </c>
      <c r="H22" s="188">
        <v>0.54600000000000004</v>
      </c>
      <c r="I22" s="188">
        <v>0.745</v>
      </c>
      <c r="J22" s="188">
        <v>0.72199999999999998</v>
      </c>
      <c r="K22" s="188">
        <v>0.58899999999999997</v>
      </c>
      <c r="L22" s="188">
        <v>0.61</v>
      </c>
      <c r="M22" s="189">
        <v>0.56799999999999995</v>
      </c>
    </row>
    <row r="23" spans="1:13" x14ac:dyDescent="0.25">
      <c r="A23" s="196">
        <v>0.3</v>
      </c>
      <c r="B23" s="183">
        <v>1.51</v>
      </c>
      <c r="C23" s="188">
        <v>1.51</v>
      </c>
      <c r="D23" s="188">
        <v>1.46</v>
      </c>
      <c r="E23" s="188">
        <v>1.38</v>
      </c>
      <c r="F23" s="188">
        <v>1.27</v>
      </c>
      <c r="G23" s="188">
        <v>1.1000000000000001</v>
      </c>
      <c r="H23" s="188">
        <v>0.88</v>
      </c>
      <c r="I23" s="188">
        <v>1.1599999999999999</v>
      </c>
      <c r="J23" s="188">
        <v>1.1200000000000001</v>
      </c>
      <c r="K23" s="188">
        <v>0.93200000000000005</v>
      </c>
      <c r="L23" s="188">
        <v>0.96399999999999997</v>
      </c>
      <c r="M23" s="189">
        <v>0.9</v>
      </c>
    </row>
    <row r="24" spans="1:13" x14ac:dyDescent="0.25">
      <c r="A24" s="196">
        <v>0.4</v>
      </c>
      <c r="B24" s="183">
        <v>2</v>
      </c>
      <c r="C24" s="188">
        <v>2</v>
      </c>
      <c r="D24" s="188">
        <v>1.94</v>
      </c>
      <c r="E24" s="188">
        <v>1.84</v>
      </c>
      <c r="F24" s="188">
        <v>1.72</v>
      </c>
      <c r="G24" s="188">
        <v>1.5</v>
      </c>
      <c r="H24" s="188">
        <v>1.23</v>
      </c>
      <c r="I24" s="188">
        <v>1.58</v>
      </c>
      <c r="J24" s="188">
        <v>1.53</v>
      </c>
      <c r="K24" s="188">
        <v>1.28</v>
      </c>
      <c r="L24" s="188">
        <v>1.32</v>
      </c>
      <c r="M24" s="189">
        <v>1.24</v>
      </c>
    </row>
    <row r="25" spans="1:13" x14ac:dyDescent="0.25">
      <c r="A25" s="196">
        <v>0.5</v>
      </c>
      <c r="B25" s="183">
        <v>2.4700000000000002</v>
      </c>
      <c r="C25" s="188">
        <v>2.4700000000000002</v>
      </c>
      <c r="D25" s="188">
        <v>2.4</v>
      </c>
      <c r="E25" s="188">
        <v>2.2999999999999998</v>
      </c>
      <c r="F25" s="188">
        <v>2.17</v>
      </c>
      <c r="G25" s="188">
        <v>1.9</v>
      </c>
      <c r="H25" s="188">
        <v>1.57</v>
      </c>
      <c r="I25" s="188">
        <v>1.99</v>
      </c>
      <c r="J25" s="188">
        <v>1.92</v>
      </c>
      <c r="K25" s="188">
        <v>1.63</v>
      </c>
      <c r="L25" s="188">
        <v>1.67</v>
      </c>
      <c r="M25" s="189">
        <v>1.59</v>
      </c>
    </row>
    <row r="26" spans="1:13" x14ac:dyDescent="0.25">
      <c r="A26" s="181">
        <v>0.6</v>
      </c>
      <c r="B26" s="187">
        <v>2.91</v>
      </c>
      <c r="C26" s="188">
        <v>2.93</v>
      </c>
      <c r="D26" s="188">
        <v>2.85</v>
      </c>
      <c r="E26" s="188">
        <v>2.7</v>
      </c>
      <c r="F26" s="188">
        <v>2.58</v>
      </c>
      <c r="G26" s="188">
        <v>2.2599999999999998</v>
      </c>
      <c r="H26" s="188">
        <v>1.91</v>
      </c>
      <c r="I26" s="188">
        <v>2.39</v>
      </c>
      <c r="J26" s="188">
        <v>2.31</v>
      </c>
      <c r="K26" s="188">
        <v>1.97</v>
      </c>
      <c r="L26" s="188">
        <v>2.02</v>
      </c>
      <c r="M26" s="189">
        <v>1.92</v>
      </c>
    </row>
    <row r="27" spans="1:13" x14ac:dyDescent="0.25">
      <c r="A27" s="196">
        <v>0.8</v>
      </c>
      <c r="B27" s="183">
        <v>3.73</v>
      </c>
      <c r="C27" s="188">
        <v>3.75</v>
      </c>
      <c r="D27" s="188">
        <v>3.66</v>
      </c>
      <c r="E27" s="188">
        <v>3.53</v>
      </c>
      <c r="F27" s="188">
        <v>3.37</v>
      </c>
      <c r="G27" s="188">
        <v>2.96</v>
      </c>
      <c r="H27" s="188">
        <v>2.57</v>
      </c>
      <c r="I27" s="188">
        <v>3.14</v>
      </c>
      <c r="J27" s="188">
        <v>3.04</v>
      </c>
      <c r="K27" s="188">
        <v>2.62</v>
      </c>
      <c r="L27" s="188">
        <v>2.7</v>
      </c>
      <c r="M27" s="189">
        <v>2.54</v>
      </c>
    </row>
    <row r="28" spans="1:13" x14ac:dyDescent="0.25">
      <c r="A28" s="181">
        <v>1</v>
      </c>
      <c r="B28" s="187">
        <v>4.49</v>
      </c>
      <c r="C28" s="188">
        <v>4.55</v>
      </c>
      <c r="D28" s="188">
        <v>4.42</v>
      </c>
      <c r="E28" s="188">
        <v>4.2699999999999996</v>
      </c>
      <c r="F28" s="188">
        <v>4.1100000000000003</v>
      </c>
      <c r="G28" s="188">
        <v>3.62</v>
      </c>
      <c r="H28" s="188">
        <v>3.21</v>
      </c>
      <c r="I28" s="188">
        <v>3.84</v>
      </c>
      <c r="J28" s="188">
        <v>3.73</v>
      </c>
      <c r="K28" s="188">
        <v>3.25</v>
      </c>
      <c r="L28" s="188">
        <v>3.32</v>
      </c>
      <c r="M28" s="189">
        <v>3.18</v>
      </c>
    </row>
    <row r="29" spans="1:13" x14ac:dyDescent="0.25">
      <c r="A29" s="196">
        <v>1.5</v>
      </c>
      <c r="B29" s="183">
        <v>6.12</v>
      </c>
      <c r="C29" s="188">
        <v>6.17</v>
      </c>
      <c r="D29" s="188">
        <v>6.06</v>
      </c>
      <c r="E29" s="188">
        <v>5.9</v>
      </c>
      <c r="F29" s="188">
        <v>5.7</v>
      </c>
      <c r="G29" s="188">
        <v>5.26</v>
      </c>
      <c r="H29" s="188">
        <v>4.66</v>
      </c>
      <c r="I29" s="188">
        <v>5.41</v>
      </c>
      <c r="J29" s="188">
        <v>5.24</v>
      </c>
      <c r="K29" s="188">
        <v>4.67</v>
      </c>
      <c r="L29" s="188">
        <v>4.74</v>
      </c>
      <c r="M29" s="189">
        <v>4.58</v>
      </c>
    </row>
    <row r="30" spans="1:13" x14ac:dyDescent="0.25">
      <c r="A30" s="196">
        <v>2</v>
      </c>
      <c r="B30" s="183">
        <v>7.48</v>
      </c>
      <c r="C30" s="188">
        <v>7.53</v>
      </c>
      <c r="D30" s="188">
        <v>7.41</v>
      </c>
      <c r="E30" s="188">
        <v>7.24</v>
      </c>
      <c r="F30" s="188">
        <v>6.96</v>
      </c>
      <c r="G30" s="188">
        <v>6.55</v>
      </c>
      <c r="H30" s="188">
        <v>5.94</v>
      </c>
      <c r="I30" s="188">
        <v>6.77</v>
      </c>
      <c r="J30" s="188">
        <v>6.56</v>
      </c>
      <c r="K30" s="188">
        <v>5.91</v>
      </c>
      <c r="L30" s="188">
        <v>6.03</v>
      </c>
      <c r="M30" s="189">
        <v>5.77</v>
      </c>
    </row>
    <row r="31" spans="1:13" x14ac:dyDescent="0.25">
      <c r="A31" s="181">
        <v>3</v>
      </c>
      <c r="B31" s="187">
        <v>9.75</v>
      </c>
      <c r="C31" s="188">
        <v>9.84</v>
      </c>
      <c r="D31" s="188">
        <v>9.66</v>
      </c>
      <c r="E31" s="188">
        <v>9.61</v>
      </c>
      <c r="F31" s="188">
        <v>9.36</v>
      </c>
      <c r="G31" s="188">
        <v>8.75</v>
      </c>
      <c r="H31" s="188">
        <v>8.18</v>
      </c>
      <c r="I31" s="188">
        <v>9.1300000000000008</v>
      </c>
      <c r="J31" s="188">
        <v>8.85</v>
      </c>
      <c r="K31" s="188">
        <v>8.08</v>
      </c>
      <c r="L31" s="188">
        <v>8.2200000000000006</v>
      </c>
      <c r="M31" s="189">
        <v>7.94</v>
      </c>
    </row>
    <row r="32" spans="1:13" x14ac:dyDescent="0.25">
      <c r="A32" s="181">
        <v>4</v>
      </c>
      <c r="B32" s="187">
        <v>11.7</v>
      </c>
      <c r="C32" s="188">
        <v>11.7</v>
      </c>
      <c r="D32" s="188">
        <v>11.6</v>
      </c>
      <c r="E32" s="188">
        <v>11.6</v>
      </c>
      <c r="F32" s="188">
        <v>11.4</v>
      </c>
      <c r="G32" s="188">
        <v>10.6</v>
      </c>
      <c r="H32" s="188">
        <v>10.199999999999999</v>
      </c>
      <c r="I32" s="188">
        <v>11.2</v>
      </c>
      <c r="J32" s="188">
        <v>10.9</v>
      </c>
      <c r="K32" s="188">
        <v>10</v>
      </c>
      <c r="L32" s="188">
        <v>10.199999999999999</v>
      </c>
      <c r="M32" s="189">
        <v>9.8000000000000007</v>
      </c>
    </row>
    <row r="33" spans="1:13" x14ac:dyDescent="0.25">
      <c r="A33" s="181">
        <v>5</v>
      </c>
      <c r="B33" s="187">
        <v>13.4</v>
      </c>
      <c r="C33" s="188">
        <v>13.4</v>
      </c>
      <c r="D33" s="188">
        <v>13.3</v>
      </c>
      <c r="E33" s="188">
        <v>13.4</v>
      </c>
      <c r="F33" s="188">
        <v>13.4</v>
      </c>
      <c r="G33" s="188">
        <v>12.5</v>
      </c>
      <c r="H33" s="188">
        <v>12</v>
      </c>
      <c r="I33" s="188">
        <v>13.2</v>
      </c>
      <c r="J33" s="188">
        <v>12.7</v>
      </c>
      <c r="K33" s="188">
        <v>11.8</v>
      </c>
      <c r="L33" s="188">
        <v>12</v>
      </c>
      <c r="M33" s="189">
        <v>11.6</v>
      </c>
    </row>
    <row r="34" spans="1:13" x14ac:dyDescent="0.25">
      <c r="A34" s="196">
        <v>6</v>
      </c>
      <c r="B34" s="183">
        <v>15</v>
      </c>
      <c r="C34" s="188">
        <v>15.1</v>
      </c>
      <c r="D34" s="188">
        <v>14.9</v>
      </c>
      <c r="E34" s="188">
        <v>15</v>
      </c>
      <c r="F34" s="188">
        <v>14.9</v>
      </c>
      <c r="G34" s="188">
        <v>14.2</v>
      </c>
      <c r="H34" s="188">
        <v>13.7</v>
      </c>
      <c r="I34" s="188">
        <v>15</v>
      </c>
      <c r="J34" s="188">
        <v>14.4</v>
      </c>
      <c r="K34" s="188">
        <v>13.5</v>
      </c>
      <c r="L34" s="188">
        <v>13.7</v>
      </c>
      <c r="M34" s="189">
        <v>13.3</v>
      </c>
    </row>
    <row r="35" spans="1:13" x14ac:dyDescent="0.25">
      <c r="A35" s="181">
        <v>8</v>
      </c>
      <c r="B35" s="187">
        <v>17.8</v>
      </c>
      <c r="C35" s="188">
        <v>18</v>
      </c>
      <c r="D35" s="188">
        <v>18.100000000000001</v>
      </c>
      <c r="E35" s="188">
        <v>18</v>
      </c>
      <c r="F35" s="188">
        <v>18</v>
      </c>
      <c r="G35" s="188">
        <v>17.3</v>
      </c>
      <c r="H35" s="188">
        <v>16.899999999999999</v>
      </c>
      <c r="I35" s="188">
        <v>18.600000000000001</v>
      </c>
      <c r="J35" s="188">
        <v>17.600000000000001</v>
      </c>
      <c r="K35" s="188">
        <v>16.600000000000001</v>
      </c>
      <c r="L35" s="188">
        <v>16.899999999999999</v>
      </c>
      <c r="M35" s="189">
        <v>16.3</v>
      </c>
    </row>
    <row r="36" spans="1:13" x14ac:dyDescent="0.25">
      <c r="A36" s="196">
        <v>10</v>
      </c>
      <c r="B36" s="183">
        <v>20.5</v>
      </c>
      <c r="C36" s="188">
        <v>20.6</v>
      </c>
      <c r="D36" s="188">
        <v>20.8</v>
      </c>
      <c r="E36" s="188">
        <v>20.8</v>
      </c>
      <c r="F36" s="188">
        <v>20.9</v>
      </c>
      <c r="G36" s="188">
        <v>20.5</v>
      </c>
      <c r="H36" s="188">
        <v>20</v>
      </c>
      <c r="I36" s="188">
        <v>22.1</v>
      </c>
      <c r="J36" s="188">
        <v>20.7</v>
      </c>
      <c r="K36" s="188">
        <v>19.7</v>
      </c>
      <c r="L36" s="188">
        <v>19.899999999999999</v>
      </c>
      <c r="M36" s="189">
        <v>19.3</v>
      </c>
    </row>
    <row r="37" spans="1:13" x14ac:dyDescent="0.25">
      <c r="A37" s="181">
        <v>15</v>
      </c>
      <c r="B37" s="187">
        <v>26.1</v>
      </c>
      <c r="C37" s="188">
        <v>26.5</v>
      </c>
      <c r="D37" s="188">
        <v>26.5</v>
      </c>
      <c r="E37" s="188">
        <v>26.7</v>
      </c>
      <c r="F37" s="188">
        <v>27.5</v>
      </c>
      <c r="G37" s="188">
        <v>27.3</v>
      </c>
      <c r="H37" s="188">
        <v>27.3</v>
      </c>
      <c r="I37" s="188">
        <v>30.4</v>
      </c>
      <c r="J37" s="188">
        <v>27.7</v>
      </c>
      <c r="K37" s="188">
        <v>26.8</v>
      </c>
      <c r="L37" s="188">
        <v>26.8</v>
      </c>
      <c r="M37" s="189">
        <v>26.2</v>
      </c>
    </row>
    <row r="38" spans="1:13" x14ac:dyDescent="0.25">
      <c r="A38" s="196">
        <v>20</v>
      </c>
      <c r="B38" s="183">
        <v>30.8</v>
      </c>
      <c r="C38" s="188">
        <v>31</v>
      </c>
      <c r="D38" s="188">
        <v>31.4</v>
      </c>
      <c r="E38" s="188">
        <v>32.1</v>
      </c>
      <c r="F38" s="188">
        <v>33.200000000000003</v>
      </c>
      <c r="G38" s="188">
        <v>34.1</v>
      </c>
      <c r="H38" s="188">
        <v>34.4</v>
      </c>
      <c r="I38" s="188">
        <v>38.200000000000003</v>
      </c>
      <c r="J38" s="188">
        <v>34.4</v>
      </c>
      <c r="K38" s="188">
        <v>33.799999999999997</v>
      </c>
      <c r="L38" s="188">
        <v>33.9</v>
      </c>
      <c r="M38" s="189">
        <v>33.700000000000003</v>
      </c>
    </row>
    <row r="39" spans="1:13" x14ac:dyDescent="0.25">
      <c r="A39" s="181">
        <v>30</v>
      </c>
      <c r="B39" s="187">
        <v>37.9</v>
      </c>
      <c r="C39" s="188">
        <v>38.4</v>
      </c>
      <c r="D39" s="188">
        <v>38.700000000000003</v>
      </c>
      <c r="E39" s="188">
        <v>40.700000000000003</v>
      </c>
      <c r="F39" s="188">
        <v>43.4</v>
      </c>
      <c r="G39" s="188">
        <v>45.6</v>
      </c>
      <c r="H39" s="188">
        <v>48</v>
      </c>
      <c r="I39" s="188">
        <v>51.3</v>
      </c>
      <c r="J39" s="188">
        <v>46</v>
      </c>
      <c r="K39" s="188">
        <v>46.1</v>
      </c>
      <c r="L39" s="188">
        <v>46.1</v>
      </c>
      <c r="M39" s="189">
        <v>46.1</v>
      </c>
    </row>
    <row r="40" spans="1:13" x14ac:dyDescent="0.25">
      <c r="A40" s="196">
        <v>40</v>
      </c>
      <c r="B40" s="183">
        <v>43.2</v>
      </c>
      <c r="C40" s="188">
        <v>43.6</v>
      </c>
      <c r="D40" s="188">
        <v>44.9</v>
      </c>
      <c r="E40" s="188">
        <v>47.3</v>
      </c>
      <c r="F40" s="188">
        <v>51.7</v>
      </c>
      <c r="G40" s="188">
        <v>56.4</v>
      </c>
      <c r="H40" s="188">
        <v>60.9</v>
      </c>
      <c r="I40" s="188">
        <v>61.8</v>
      </c>
      <c r="J40" s="188">
        <v>56</v>
      </c>
      <c r="K40" s="188">
        <v>56.9</v>
      </c>
      <c r="L40" s="188">
        <v>56.6</v>
      </c>
      <c r="M40" s="189">
        <v>57.2</v>
      </c>
    </row>
    <row r="41" spans="1:13" x14ac:dyDescent="0.25">
      <c r="A41" s="196">
        <v>50</v>
      </c>
      <c r="B41" s="183">
        <v>47.1</v>
      </c>
      <c r="C41" s="188">
        <v>47.4</v>
      </c>
      <c r="D41" s="188">
        <v>48.9</v>
      </c>
      <c r="E41" s="188">
        <v>52.6</v>
      </c>
      <c r="F41" s="188">
        <v>58.4</v>
      </c>
      <c r="G41" s="188">
        <v>65.3</v>
      </c>
      <c r="H41" s="188">
        <v>72.3</v>
      </c>
      <c r="I41" s="188">
        <v>70.099999999999994</v>
      </c>
      <c r="J41" s="188">
        <v>64.3</v>
      </c>
      <c r="K41" s="188">
        <v>66.099999999999994</v>
      </c>
      <c r="L41" s="188">
        <v>65.8</v>
      </c>
      <c r="M41" s="189">
        <v>66.599999999999994</v>
      </c>
    </row>
    <row r="42" spans="1:13" x14ac:dyDescent="0.25">
      <c r="A42" s="181">
        <v>60</v>
      </c>
      <c r="B42" s="187">
        <v>50.1</v>
      </c>
      <c r="C42" s="188">
        <v>51.5</v>
      </c>
      <c r="D42" s="188">
        <v>54</v>
      </c>
      <c r="E42" s="188">
        <v>58.6</v>
      </c>
      <c r="F42" s="188">
        <v>65.3</v>
      </c>
      <c r="G42" s="188">
        <v>74.400000000000006</v>
      </c>
      <c r="H42" s="188">
        <v>82.1</v>
      </c>
      <c r="I42" s="188">
        <v>76.5</v>
      </c>
      <c r="J42" s="188">
        <v>71.099999999999994</v>
      </c>
      <c r="K42" s="188">
        <v>74.099999999999994</v>
      </c>
      <c r="L42" s="188">
        <v>73.5</v>
      </c>
      <c r="M42" s="189">
        <v>74.7</v>
      </c>
    </row>
    <row r="43" spans="1:13" x14ac:dyDescent="0.25">
      <c r="A43" s="181">
        <v>80</v>
      </c>
      <c r="B43" s="187">
        <v>54.5</v>
      </c>
      <c r="C43" s="188">
        <v>56.3</v>
      </c>
      <c r="D43" s="188">
        <v>58.7</v>
      </c>
      <c r="E43" s="188">
        <v>64.2</v>
      </c>
      <c r="F43" s="188">
        <v>73.5</v>
      </c>
      <c r="G43" s="188">
        <v>85.5</v>
      </c>
      <c r="H43" s="188">
        <v>98.1</v>
      </c>
      <c r="I43" s="188">
        <v>86.2</v>
      </c>
      <c r="J43" s="188">
        <v>81.8</v>
      </c>
      <c r="K43" s="188">
        <v>87.1</v>
      </c>
      <c r="L43" s="188">
        <v>85.5</v>
      </c>
      <c r="M43" s="189">
        <v>88.9</v>
      </c>
    </row>
    <row r="44" spans="1:13" x14ac:dyDescent="0.25">
      <c r="A44" s="181">
        <v>100</v>
      </c>
      <c r="B44" s="187">
        <v>57.8</v>
      </c>
      <c r="C44" s="190">
        <v>59.7</v>
      </c>
      <c r="D44" s="188">
        <v>62.2</v>
      </c>
      <c r="E44" s="188">
        <v>68.900000000000006</v>
      </c>
      <c r="F44" s="188">
        <v>79.099999999999994</v>
      </c>
      <c r="G44" s="188">
        <v>93.2</v>
      </c>
      <c r="H44" s="188">
        <v>110</v>
      </c>
      <c r="I44" s="188">
        <v>92.7</v>
      </c>
      <c r="J44" s="188">
        <v>89.5</v>
      </c>
      <c r="K44" s="188">
        <v>97.5</v>
      </c>
      <c r="L44" s="188">
        <v>96.1</v>
      </c>
      <c r="M44" s="189">
        <v>98.9</v>
      </c>
    </row>
    <row r="45" spans="1:13" x14ac:dyDescent="0.25">
      <c r="A45" s="181">
        <v>150</v>
      </c>
      <c r="B45" s="187">
        <v>63.2</v>
      </c>
      <c r="C45" s="190">
        <v>64.7</v>
      </c>
      <c r="D45" s="188">
        <v>68</v>
      </c>
      <c r="E45" s="188">
        <v>76.400000000000006</v>
      </c>
      <c r="F45" s="188">
        <v>88.8</v>
      </c>
      <c r="G45" s="188">
        <v>106</v>
      </c>
      <c r="H45" s="188">
        <v>130</v>
      </c>
      <c r="I45" s="188">
        <v>103</v>
      </c>
      <c r="J45" s="188">
        <v>102</v>
      </c>
      <c r="K45" s="188">
        <v>116</v>
      </c>
      <c r="L45" s="188">
        <v>115</v>
      </c>
      <c r="M45" s="189">
        <v>118</v>
      </c>
    </row>
    <row r="46" spans="1:13" x14ac:dyDescent="0.25">
      <c r="A46" s="181">
        <v>200</v>
      </c>
      <c r="B46" s="187">
        <v>67.2</v>
      </c>
      <c r="C46" s="183">
        <v>68.599999999999994</v>
      </c>
      <c r="D46" s="188">
        <v>72.3</v>
      </c>
      <c r="E46" s="188">
        <v>81</v>
      </c>
      <c r="F46" s="188">
        <v>95.8</v>
      </c>
      <c r="G46" s="188">
        <v>115</v>
      </c>
      <c r="H46" s="188">
        <v>144</v>
      </c>
      <c r="I46" s="188">
        <v>110</v>
      </c>
      <c r="J46" s="188">
        <v>110</v>
      </c>
      <c r="K46" s="188">
        <v>129</v>
      </c>
      <c r="L46" s="188">
        <v>125</v>
      </c>
      <c r="M46" s="189">
        <v>135</v>
      </c>
    </row>
    <row r="47" spans="1:13" x14ac:dyDescent="0.25">
      <c r="A47" s="181">
        <v>300</v>
      </c>
      <c r="B47" s="187">
        <v>72.3</v>
      </c>
      <c r="C47" s="183">
        <v>74.7</v>
      </c>
      <c r="D47" s="188">
        <v>77.900000000000006</v>
      </c>
      <c r="E47" s="188">
        <v>87.7</v>
      </c>
      <c r="F47" s="188">
        <v>104</v>
      </c>
      <c r="G47" s="188">
        <v>126</v>
      </c>
      <c r="H47" s="188">
        <v>161</v>
      </c>
      <c r="I47" s="188">
        <v>118</v>
      </c>
      <c r="J47" s="188">
        <v>121</v>
      </c>
      <c r="K47" s="188">
        <v>147</v>
      </c>
      <c r="L47" s="188">
        <v>140</v>
      </c>
      <c r="M47" s="189">
        <v>154</v>
      </c>
    </row>
    <row r="48" spans="1:13" x14ac:dyDescent="0.25">
      <c r="A48" s="181">
        <v>400</v>
      </c>
      <c r="B48" s="187">
        <v>75.400000000000006</v>
      </c>
      <c r="C48" s="188">
        <v>78.8</v>
      </c>
      <c r="D48" s="188">
        <v>82.1</v>
      </c>
      <c r="E48" s="188">
        <v>92.3</v>
      </c>
      <c r="F48" s="188">
        <v>110</v>
      </c>
      <c r="G48" s="188">
        <v>134</v>
      </c>
      <c r="H48" s="188">
        <v>173</v>
      </c>
      <c r="I48" s="188">
        <v>123</v>
      </c>
      <c r="J48" s="188">
        <v>128</v>
      </c>
      <c r="K48" s="188">
        <v>159</v>
      </c>
      <c r="L48" s="188">
        <v>150</v>
      </c>
      <c r="M48" s="189">
        <v>168</v>
      </c>
    </row>
    <row r="49" spans="1:13" x14ac:dyDescent="0.25">
      <c r="A49" s="181">
        <v>500</v>
      </c>
      <c r="B49" s="187">
        <v>77.400000000000006</v>
      </c>
      <c r="C49" s="188">
        <v>79.7</v>
      </c>
      <c r="D49" s="188">
        <v>83.7</v>
      </c>
      <c r="E49" s="188">
        <v>94</v>
      </c>
      <c r="F49" s="188">
        <v>113</v>
      </c>
      <c r="G49" s="188">
        <v>138</v>
      </c>
      <c r="H49" s="188">
        <v>181</v>
      </c>
      <c r="I49" s="188">
        <v>127</v>
      </c>
      <c r="J49" s="188">
        <v>132</v>
      </c>
      <c r="K49" s="188">
        <v>167</v>
      </c>
      <c r="L49" s="188">
        <v>158</v>
      </c>
      <c r="M49" s="189">
        <v>178</v>
      </c>
    </row>
    <row r="50" spans="1:13" x14ac:dyDescent="0.25">
      <c r="A50" s="181">
        <v>600</v>
      </c>
      <c r="B50" s="187">
        <v>78.7</v>
      </c>
      <c r="C50" s="188">
        <v>81.099999999999994</v>
      </c>
      <c r="D50" s="188">
        <v>84.9</v>
      </c>
      <c r="E50" s="188">
        <v>95.8</v>
      </c>
      <c r="F50" s="188">
        <v>115</v>
      </c>
      <c r="G50" s="188">
        <v>143</v>
      </c>
      <c r="H50" s="188">
        <v>187</v>
      </c>
      <c r="I50" s="188">
        <v>130</v>
      </c>
      <c r="J50" s="188">
        <v>136</v>
      </c>
      <c r="K50" s="188">
        <v>174</v>
      </c>
      <c r="L50" s="188">
        <v>165</v>
      </c>
      <c r="M50" s="189">
        <v>183</v>
      </c>
    </row>
    <row r="51" spans="1:13" x14ac:dyDescent="0.25">
      <c r="A51" s="181">
        <v>800</v>
      </c>
      <c r="B51" s="187">
        <v>80.400000000000006</v>
      </c>
      <c r="C51" s="188">
        <v>82.6</v>
      </c>
      <c r="D51" s="188">
        <v>87.4</v>
      </c>
      <c r="E51" s="188">
        <v>98.3</v>
      </c>
      <c r="F51" s="188">
        <v>119</v>
      </c>
      <c r="G51" s="188">
        <v>148</v>
      </c>
      <c r="H51" s="188">
        <v>195</v>
      </c>
      <c r="I51" s="188">
        <v>134</v>
      </c>
      <c r="J51" s="188">
        <v>141</v>
      </c>
      <c r="K51" s="188">
        <v>185</v>
      </c>
      <c r="L51" s="188">
        <v>174</v>
      </c>
      <c r="M51" s="189">
        <v>196</v>
      </c>
    </row>
    <row r="52" spans="1:13" ht="15.75" thickBot="1" x14ac:dyDescent="0.3">
      <c r="A52" s="182">
        <v>1000</v>
      </c>
      <c r="B52" s="191">
        <v>81.599999999999994</v>
      </c>
      <c r="C52" s="192">
        <v>84</v>
      </c>
      <c r="D52" s="192">
        <v>89.4</v>
      </c>
      <c r="E52" s="192">
        <v>101</v>
      </c>
      <c r="F52" s="192">
        <v>122</v>
      </c>
      <c r="G52" s="192">
        <v>152</v>
      </c>
      <c r="H52" s="192">
        <v>202</v>
      </c>
      <c r="I52" s="192">
        <v>137</v>
      </c>
      <c r="J52" s="192">
        <v>145</v>
      </c>
      <c r="K52" s="192">
        <v>193</v>
      </c>
      <c r="L52" s="192">
        <v>180</v>
      </c>
      <c r="M52" s="193">
        <v>206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Algemeen</vt:lpstr>
      <vt:lpstr>Externe blootstelling</vt:lpstr>
      <vt:lpstr>Besmetting &amp; ingestie</vt:lpstr>
      <vt:lpstr>Scenario</vt:lpstr>
      <vt:lpstr>Inputparameters</vt:lpstr>
      <vt:lpstr>F_tli</vt:lpstr>
      <vt:lpstr>Mass attenuation coefficients</vt:lpstr>
      <vt:lpstr>Shultis Faw</vt:lpstr>
      <vt:lpstr>hp (pSv cm2)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2021-09-24T15:15:34Z</dcterms:modified>
  <cp:category/>
  <cp:contentStatus/>
</cp:coreProperties>
</file>